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JUN\INF_ELABORADA\"/>
    </mc:Choice>
  </mc:AlternateContent>
  <xr:revisionPtr revIDLastSave="0" documentId="13_ncr:1_{F7F531F3-7E83-4C8B-AB7A-41D795DED987}" xr6:coauthVersionLast="47" xr6:coauthVersionMax="47" xr10:uidLastSave="{00000000-0000-0000-0000-000000000000}"/>
  <bookViews>
    <workbookView xWindow="19090" yWindow="-620" windowWidth="19420" windowHeight="11500" tabRatio="828" xr2:uid="{39F6C391-F3F6-4833-92C2-75411310EE15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61" r:id="rId13"/>
    <sheet name="P12" sheetId="62" r:id="rId14"/>
    <sheet name="P13" sheetId="63" r:id="rId15"/>
    <sheet name="P14" sheetId="51" r:id="rId16"/>
    <sheet name="P15" sheetId="65" r:id="rId17"/>
    <sheet name="P16" sheetId="23" r:id="rId18"/>
    <sheet name="P17" sheetId="66" r:id="rId19"/>
    <sheet name="P18" sheetId="67" r:id="rId20"/>
    <sheet name="P18 DESGLOSE" sheetId="69" state="hidden" r:id="rId21"/>
    <sheet name="P19" sheetId="68" r:id="rId22"/>
    <sheet name="P20" sheetId="71" r:id="rId23"/>
    <sheet name="P21" sheetId="72" r:id="rId24"/>
    <sheet name="Dat_01" sheetId="44" r:id="rId25"/>
    <sheet name="Dat_02" sheetId="47" r:id="rId26"/>
    <sheet name="Data 2" sheetId="49" state="hidden" r:id="rId27"/>
    <sheet name="Data 3" sheetId="43" r:id="rId28"/>
    <sheet name="Data 4" sheetId="59" r:id="rId29"/>
    <sheet name="Dat_07" sheetId="56" r:id="rId30"/>
    <sheet name="Data 5" sheetId="60" r:id="rId31"/>
    <sheet name="Data 6" sheetId="70" r:id="rId32"/>
  </sheets>
  <definedNames>
    <definedName name="_xlnm._FilterDatabase" localSheetId="28" hidden="1">'Data 4'!$B$1:$H$487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Eol_Dia" localSheetId="22">OFFSET(#REF!,0,0,COUNT(#REF!),1)</definedName>
    <definedName name="Eol_Dia" localSheetId="23">OFFSET(Dat_01!$Y$184,0,0,COUNT(Dat_01!$W$184:$W$215),1)</definedName>
    <definedName name="Eol_Dia">OFFSET(Dat_01!$Y$184,0,0,COUNT(Dat_01!$W$184:$W$215),1)</definedName>
    <definedName name="Eol_Fechas" localSheetId="22">OFFSET(#REF!,0,0,COUNT(#REF!),1)</definedName>
    <definedName name="Eol_Fechas" localSheetId="23">OFFSET(Dat_01!$A$184,0,0,COUNT(Dat_01!$A$184:$A$215),1)</definedName>
    <definedName name="Eol_Fechas">OFFSET(Dat_01!$A$184,0,0,COUNT(Dat_01!$A$184:$A$215),1)</definedName>
    <definedName name="Eol_Porcentaje" localSheetId="22">OFFSET(#REF!,0,0,COUNT(#REF!),1)</definedName>
    <definedName name="Eol_Porcentaje" localSheetId="23">OFFSET(Dat_01!$X$184,0,0,COUNT(Dat_01!$X$184:$X$215),1)</definedName>
    <definedName name="Eol_Porcentaje">OFFSET(Dat_01!$X$184,0,0,COUNT(Dat_01!$X$184:$X$215),1)</definedName>
    <definedName name="H_Eol" localSheetId="22">OFFSET(#REF!,0,0,COUNT(#REF!),1)</definedName>
    <definedName name="H_Eol" localSheetId="23">OFFSET(Dat_01!$K$224,0,0,COUNT(Dat_01!$I$224:$I$249),1)</definedName>
    <definedName name="H_Eol">OFFSET(Dat_01!$K$224,0,0,COUNT(Dat_01!$I$224:$I$249),1)</definedName>
    <definedName name="H_Gen" localSheetId="22">OFFSET(#REF!,0,0,COUNT(#REF!),1)</definedName>
    <definedName name="H_Gen" localSheetId="23">OFFSET(Dat_01!$R$224,0,0,COUNT(Dat_01!$P$224:$P$249),1)</definedName>
    <definedName name="H_Gen">OFFSET(Dat_01!$R$224,0,0,COUNT(Dat_01!$P$224:$P$249),1)</definedName>
    <definedName name="H_Porcentaje" localSheetId="22">OFFSET(#REF!,0,0,COUNT(#REF!),1)</definedName>
    <definedName name="H_Porcentaje" localSheetId="23">OFFSET(Dat_01!$W$224,0,0,COUNT(Dat_01!$W$224:$W$249),1)</definedName>
    <definedName name="H_Porcentaje">OFFSET(Dat_01!$W$224,0,0,COUNT(Dat_01!$W$224:$W$249),1)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Índice" localSheetId="20">[0]!INDICE</definedName>
    <definedName name="Índice" localSheetId="21">[0]!INDICE</definedName>
    <definedName name="Índice" localSheetId="22">[0]!INDICE</definedName>
    <definedName name="Índice" localSheetId="23">[0]!INDICE</definedName>
    <definedName name="Índice">[0]!INDICE</definedName>
    <definedName name="indice_jcol" localSheetId="20">[0]!INDICE</definedName>
    <definedName name="indice_jcol" localSheetId="21">[0]!INDICE</definedName>
    <definedName name="indice_jcol" localSheetId="22">[0]!INDICE</definedName>
    <definedName name="indice_jcol" localSheetId="23">[0]!INDICE</definedName>
    <definedName name="indice_jcol">[0]!INDICE</definedName>
    <definedName name="MSTR.Balance._Día_máx_generación_renovable._Histórico" localSheetId="22">#REF!</definedName>
    <definedName name="MSTR.Balance._Día_máx_generación_renovable._Histórico" localSheetId="23" xml:space="preserve">    Dat_01!$G$67:$H$88</definedName>
    <definedName name="MSTR.Balance._Día_máx_generación_renovable._Histórico" xml:space="preserve">    Dat_01!$G$67:$H$90</definedName>
    <definedName name="MSTR.Balance._Día_máx_generación_renovable._Mes" localSheetId="22">#REF!</definedName>
    <definedName name="MSTR.Balance._Día_máx_generación_renovable._Mes" localSheetId="23" xml:space="preserve">    Dat_01!$A$67:$B$91</definedName>
    <definedName name="MSTR.Balance._Día_máx_generación_renovable._Mes" xml:space="preserve">    Dat_01!$A$67:$B$90</definedName>
    <definedName name="MSTR.Balance_B.C._Mensual_Nacional" localSheetId="22">#REF!</definedName>
    <definedName name="MSTR.Balance_B.C._Mensual_Nacional" localSheetId="23" xml:space="preserve">           Dat_01!$A$271:$I$293</definedName>
    <definedName name="MSTR.Balance_B.C._Mensual_Nacional" xml:space="preserve">           Dat_01!$A$271:$I$293</definedName>
    <definedName name="MSTR.Balance_B.C._Mensual_Sistema_eléctrico" xml:space="preserve">            Dat_07!$A$1:$AT$27</definedName>
    <definedName name="MSTR.Emisiones_CO2" xml:space="preserve">    Dat_07!$A$32:$O$46</definedName>
    <definedName name="MSTR.Emisiones_CO2.1" localSheetId="22">#REF!</definedName>
    <definedName name="MSTR.Emisiones_CO2.1" localSheetId="23" xml:space="preserve">    Dat_01!$A$252:$O$266</definedName>
    <definedName name="MSTR.Emisiones_CO2.1" xml:space="preserve">    Dat_01!$A$252:$O$266</definedName>
    <definedName name="MSTR.Energía_generada_y_autoconsumida" xml:space="preserve">    'Data 6'!$A$45:$C$61</definedName>
    <definedName name="MSTR.Mes_del_informe" xml:space="preserve">    'Data 6'!$A$1:$B$2</definedName>
    <definedName name="MSTR.Potencia_instalada_Autoconsumo" xml:space="preserve">    'Data 6'!$A$4:$N$17</definedName>
    <definedName name="MSTR.Potencia_instalada_CIL" xml:space="preserve">    Dat_01!$L$1:$M$22</definedName>
    <definedName name="MSTR.Potencia_instalada_Total" xml:space="preserve">    'Data 6'!$A$19:$N$38</definedName>
    <definedName name="MSTR.Serie_Balance_B.C._Mensual_Peninsular" localSheetId="22">#REF!</definedName>
    <definedName name="MSTR.Serie_Balance_B.C._Mensual_Peninsular" localSheetId="23" xml:space="preserve">    Dat_01!$A$118:$Z$143</definedName>
    <definedName name="MSTR.Serie_Balance_B.C._Mensual_Peninsular" xml:space="preserve">    Dat_01!$A$118:$Z$142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Prod">OFFSET(Dat_02!$E$3,0,0,COUNT(Dat_02!$E$3:$E$500),1)</definedName>
    <definedName name="Prod_Dia">OFFSET(Dat_02!$C$3,0,0,COUNT(Dat_02!$C$3:$C$500),1)</definedName>
    <definedName name="Prod_Med">OFFSET(Dat_02!$D$3,0,0,COUNT(Dat_02!$D$3:$D$500),1)</definedName>
    <definedName name="sfasfasf" localSheetId="20">[0]!INDICE</definedName>
    <definedName name="sfasfasf" localSheetId="21">[0]!INDICE</definedName>
    <definedName name="sfasfasf" localSheetId="22">[0]!INDICE</definedName>
    <definedName name="sfasfasf" localSheetId="23">[0]!INDICE</definedName>
    <definedName name="sfasfasf">[0]!INDICE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2" hidden="1">#REF!</definedName>
    <definedName name="WW" localSheetId="23" hidden="1" xml:space="preserve">        Dat_01!$A$271:$I$295</definedName>
    <definedName name="WW" localSheetId="4" hidden="1">Dat_01!$A$271:$I$295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0" i="44" l="1"/>
  <c r="K58" i="43"/>
  <c r="J58" i="43"/>
  <c r="C103" i="70" l="1"/>
  <c r="B103" i="70"/>
  <c r="B68" i="70"/>
  <c r="B67" i="70"/>
  <c r="B66" i="70"/>
  <c r="B65" i="70"/>
  <c r="B64" i="70"/>
  <c r="M24" i="44"/>
  <c r="B30" i="44"/>
  <c r="C30" i="44"/>
  <c r="D30" i="44"/>
  <c r="E30" i="44"/>
  <c r="G30" i="44" s="1"/>
  <c r="F30" i="44"/>
  <c r="H30" i="44"/>
  <c r="J30" i="44" s="1"/>
  <c r="I30" i="44"/>
  <c r="F70" i="43"/>
  <c r="H870" i="56"/>
  <c r="J870" i="56" s="1"/>
  <c r="I58" i="43"/>
  <c r="I870" i="56" l="1"/>
  <c r="Q266" i="44" l="1"/>
  <c r="X224" i="44"/>
  <c r="X184" i="44"/>
  <c r="I83" i="44"/>
  <c r="C83" i="44"/>
  <c r="F77" i="70" l="1"/>
  <c r="F76" i="70"/>
  <c r="H70" i="43"/>
  <c r="I57" i="43"/>
  <c r="I869" i="56"/>
  <c r="H869" i="56"/>
  <c r="J869" i="56"/>
  <c r="E812" i="56" l="1"/>
  <c r="H216" i="44" l="1"/>
  <c r="I216" i="44"/>
  <c r="M53" i="44" l="1"/>
  <c r="G76" i="70"/>
  <c r="B71" i="70"/>
  <c r="B70" i="70"/>
  <c r="B69" i="70"/>
  <c r="O17" i="70"/>
  <c r="F23" i="68"/>
  <c r="H71" i="43" l="1"/>
  <c r="I56" i="43" l="1"/>
  <c r="H868" i="56"/>
  <c r="I868" i="56" s="1"/>
  <c r="J868" i="56" l="1"/>
  <c r="I35" i="44" l="1"/>
  <c r="I34" i="44"/>
  <c r="K34" i="44" s="1"/>
  <c r="A761" i="60"/>
  <c r="I36" i="44" l="1"/>
  <c r="J35" i="44" s="1"/>
  <c r="J34" i="44" l="1"/>
  <c r="E761" i="60"/>
  <c r="A761" i="59" l="1"/>
  <c r="E761" i="59" l="1"/>
  <c r="H867" i="56" l="1"/>
  <c r="I867" i="56" s="1"/>
  <c r="J867" i="56"/>
  <c r="G76" i="43"/>
  <c r="K74" i="43"/>
  <c r="I76" i="43"/>
  <c r="I55" i="43"/>
  <c r="E811" i="56" l="1"/>
  <c r="E762" i="47" l="1"/>
  <c r="F74" i="43" l="1"/>
  <c r="N42" i="70"/>
  <c r="H866" i="56"/>
  <c r="J866" i="56" s="1"/>
  <c r="I866" i="56"/>
  <c r="I54" i="43"/>
  <c r="B72" i="70" l="1"/>
  <c r="H864" i="56" l="1"/>
  <c r="H863" i="56"/>
  <c r="H862" i="56"/>
  <c r="H861" i="56"/>
  <c r="H860" i="56"/>
  <c r="H859" i="56"/>
  <c r="H858" i="56"/>
  <c r="H857" i="56"/>
  <c r="H856" i="56"/>
  <c r="H855" i="56"/>
  <c r="H854" i="56"/>
  <c r="H853" i="56"/>
  <c r="H852" i="56"/>
  <c r="H851" i="56"/>
  <c r="H850" i="56"/>
  <c r="H849" i="56"/>
  <c r="H848" i="56"/>
  <c r="H847" i="56"/>
  <c r="H846" i="56"/>
  <c r="H845" i="56"/>
  <c r="H844" i="56"/>
  <c r="H843" i="56"/>
  <c r="H842" i="56"/>
  <c r="H841" i="56"/>
  <c r="H840" i="56"/>
  <c r="H839" i="56"/>
  <c r="H838" i="56"/>
  <c r="H837" i="56"/>
  <c r="H836" i="56"/>
  <c r="H835" i="56"/>
  <c r="H834" i="56"/>
  <c r="H833" i="56"/>
  <c r="H832" i="56"/>
  <c r="H831" i="56"/>
  <c r="H830" i="56"/>
  <c r="H829" i="56"/>
  <c r="H828" i="56"/>
  <c r="H827" i="56"/>
  <c r="H826" i="56"/>
  <c r="H825" i="56"/>
  <c r="H824" i="56"/>
  <c r="H823" i="56"/>
  <c r="H822" i="56"/>
  <c r="H821" i="56"/>
  <c r="H820" i="56"/>
  <c r="H819" i="56"/>
  <c r="H818" i="56"/>
  <c r="H817" i="56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17" i="43"/>
  <c r="D64" i="70" l="1"/>
  <c r="C64" i="70" l="1"/>
  <c r="O47" i="56" l="1"/>
  <c r="Z184" i="44"/>
  <c r="Y184" i="44"/>
  <c r="X225" i="44"/>
  <c r="X226" i="44"/>
  <c r="X227" i="44"/>
  <c r="X228" i="44"/>
  <c r="X229" i="44"/>
  <c r="X230" i="44"/>
  <c r="X231" i="44"/>
  <c r="X232" i="44"/>
  <c r="X233" i="44"/>
  <c r="X234" i="44"/>
  <c r="X235" i="44"/>
  <c r="X236" i="44"/>
  <c r="X237" i="44"/>
  <c r="X238" i="44"/>
  <c r="X239" i="44"/>
  <c r="X240" i="44"/>
  <c r="X241" i="44"/>
  <c r="X242" i="44"/>
  <c r="X243" i="44"/>
  <c r="X244" i="44"/>
  <c r="X245" i="44"/>
  <c r="X246" i="44"/>
  <c r="X247" i="44"/>
  <c r="X248" i="44"/>
  <c r="X249" i="44"/>
  <c r="X250" i="44"/>
  <c r="B34" i="44" l="1"/>
  <c r="D67" i="70" l="1"/>
  <c r="D71" i="70"/>
  <c r="C71" i="70"/>
  <c r="D70" i="70"/>
  <c r="D69" i="70"/>
  <c r="D68" i="70"/>
  <c r="D66" i="70"/>
  <c r="D65" i="70"/>
  <c r="C70" i="70" l="1"/>
  <c r="C65" i="70"/>
  <c r="C68" i="70"/>
  <c r="C69" i="70"/>
  <c r="C66" i="70"/>
  <c r="D72" i="70"/>
  <c r="C67" i="70"/>
  <c r="C72" i="70"/>
  <c r="E66" i="70" l="1"/>
  <c r="E70" i="70"/>
  <c r="E71" i="70"/>
  <c r="E65" i="70"/>
  <c r="E68" i="70"/>
  <c r="E64" i="70"/>
  <c r="E69" i="70"/>
  <c r="E67" i="70"/>
  <c r="G84" i="70"/>
  <c r="F83" i="70"/>
  <c r="G83" i="70"/>
  <c r="G82" i="70"/>
  <c r="F82" i="70"/>
  <c r="G81" i="70"/>
  <c r="F81" i="70"/>
  <c r="F80" i="70"/>
  <c r="G79" i="70"/>
  <c r="F79" i="70"/>
  <c r="G78" i="70"/>
  <c r="F78" i="70"/>
  <c r="G77" i="70"/>
  <c r="M42" i="70"/>
  <c r="L42" i="70"/>
  <c r="K42" i="70"/>
  <c r="J42" i="70"/>
  <c r="I42" i="70"/>
  <c r="H42" i="70"/>
  <c r="G42" i="70"/>
  <c r="F42" i="70"/>
  <c r="E42" i="70"/>
  <c r="D42" i="70"/>
  <c r="C42" i="70"/>
  <c r="B42" i="70"/>
  <c r="N41" i="70"/>
  <c r="M41" i="70"/>
  <c r="L41" i="70"/>
  <c r="K41" i="70"/>
  <c r="J41" i="70"/>
  <c r="I41" i="70"/>
  <c r="H41" i="70"/>
  <c r="G41" i="70"/>
  <c r="F41" i="70"/>
  <c r="E41" i="70"/>
  <c r="D41" i="70"/>
  <c r="C41" i="70"/>
  <c r="B41" i="70"/>
  <c r="G80" i="70" l="1"/>
  <c r="Z185" i="44" l="1"/>
  <c r="B97" i="44" l="1"/>
  <c r="B296" i="44" l="1"/>
  <c r="B298" i="44" s="1"/>
  <c r="C296" i="44"/>
  <c r="C298" i="44" s="1"/>
  <c r="E296" i="44"/>
  <c r="E298" i="44" s="1"/>
  <c r="F296" i="44"/>
  <c r="F298" i="44" s="1"/>
  <c r="B297" i="44"/>
  <c r="C297" i="44"/>
  <c r="E297" i="44"/>
  <c r="F297" i="44"/>
  <c r="M60" i="44" l="1"/>
  <c r="G18" i="6" l="1"/>
  <c r="H97" i="44"/>
  <c r="AA184" i="44"/>
  <c r="X207" i="44" l="1"/>
  <c r="X185" i="44" l="1"/>
  <c r="X186" i="44"/>
  <c r="X187" i="44"/>
  <c r="X188" i="44"/>
  <c r="X189" i="44"/>
  <c r="X190" i="44"/>
  <c r="X191" i="44"/>
  <c r="X192" i="44"/>
  <c r="X193" i="44"/>
  <c r="X194" i="44"/>
  <c r="X195" i="44"/>
  <c r="X196" i="44"/>
  <c r="X197" i="44"/>
  <c r="X198" i="44"/>
  <c r="X199" i="44"/>
  <c r="X200" i="44"/>
  <c r="X201" i="44"/>
  <c r="X202" i="44"/>
  <c r="X203" i="44"/>
  <c r="X204" i="44"/>
  <c r="X205" i="44"/>
  <c r="X206" i="44"/>
  <c r="X208" i="44"/>
  <c r="X209" i="44"/>
  <c r="X210" i="44"/>
  <c r="X211" i="44"/>
  <c r="X212" i="44"/>
  <c r="X213" i="44"/>
  <c r="X214" i="44"/>
  <c r="H100" i="44" l="1"/>
  <c r="B100" i="44"/>
  <c r="H99" i="44"/>
  <c r="B99" i="44"/>
  <c r="F10" i="68" l="1"/>
  <c r="E8" i="68"/>
  <c r="AA185" i="44"/>
  <c r="AA186" i="44"/>
  <c r="AA187" i="44"/>
  <c r="AA188" i="44"/>
  <c r="AA189" i="44"/>
  <c r="AA190" i="44"/>
  <c r="AA191" i="44"/>
  <c r="AA192" i="44"/>
  <c r="AA193" i="44"/>
  <c r="AA194" i="44"/>
  <c r="AA195" i="44"/>
  <c r="AA196" i="44"/>
  <c r="AA197" i="44"/>
  <c r="AA198" i="44"/>
  <c r="AA199" i="44"/>
  <c r="AA200" i="44"/>
  <c r="AA201" i="44"/>
  <c r="AA202" i="44"/>
  <c r="AA203" i="44"/>
  <c r="AA204" i="44"/>
  <c r="AA205" i="44"/>
  <c r="AA206" i="44"/>
  <c r="AA207" i="44"/>
  <c r="AA208" i="44"/>
  <c r="AA209" i="44"/>
  <c r="AA210" i="44"/>
  <c r="AA211" i="44"/>
  <c r="AA212" i="44"/>
  <c r="AA213" i="44"/>
  <c r="AA214" i="44"/>
  <c r="Z186" i="44"/>
  <c r="Z187" i="44"/>
  <c r="Z188" i="44"/>
  <c r="Z189" i="44"/>
  <c r="Z190" i="44"/>
  <c r="Z191" i="44"/>
  <c r="Z192" i="44"/>
  <c r="Z193" i="44"/>
  <c r="Z194" i="44"/>
  <c r="Z195" i="44"/>
  <c r="Z196" i="44"/>
  <c r="Z197" i="44"/>
  <c r="Z198" i="44"/>
  <c r="Z199" i="44"/>
  <c r="Z200" i="44"/>
  <c r="Z201" i="44"/>
  <c r="Z202" i="44"/>
  <c r="Z203" i="44"/>
  <c r="Z204" i="44"/>
  <c r="Z205" i="44"/>
  <c r="Z206" i="44"/>
  <c r="Z207" i="44"/>
  <c r="Z208" i="44"/>
  <c r="Z209" i="44"/>
  <c r="Z210" i="44"/>
  <c r="Z211" i="44"/>
  <c r="Z212" i="44"/>
  <c r="Z213" i="44"/>
  <c r="Z214" i="44"/>
  <c r="Y185" i="44"/>
  <c r="Y186" i="44"/>
  <c r="Y187" i="44"/>
  <c r="Y188" i="44"/>
  <c r="Y189" i="44"/>
  <c r="Y190" i="44"/>
  <c r="Y191" i="44"/>
  <c r="Y192" i="44"/>
  <c r="Y193" i="44"/>
  <c r="Y194" i="44"/>
  <c r="Y195" i="44"/>
  <c r="Y196" i="44"/>
  <c r="Y197" i="44"/>
  <c r="Y198" i="44"/>
  <c r="Y199" i="44"/>
  <c r="Y200" i="44"/>
  <c r="Y201" i="44"/>
  <c r="Y202" i="44"/>
  <c r="Y203" i="44"/>
  <c r="Y204" i="44"/>
  <c r="Y205" i="44"/>
  <c r="Y206" i="44"/>
  <c r="Y207" i="44"/>
  <c r="Y208" i="44"/>
  <c r="Y209" i="44"/>
  <c r="Y210" i="44"/>
  <c r="Y211" i="44"/>
  <c r="Y212" i="44"/>
  <c r="Y213" i="44"/>
  <c r="Y214" i="44"/>
  <c r="F299" i="44"/>
  <c r="E299" i="44"/>
  <c r="C299" i="44"/>
  <c r="B299" i="44"/>
  <c r="I59" i="44" l="1"/>
  <c r="I58" i="44"/>
  <c r="K58" i="44" s="1"/>
  <c r="I51" i="44"/>
  <c r="I52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K27" i="6" l="1"/>
  <c r="K22" i="6"/>
  <c r="K15" i="6"/>
  <c r="J19" i="6"/>
  <c r="H19" i="6"/>
  <c r="I27" i="6"/>
  <c r="I22" i="6"/>
  <c r="I15" i="6"/>
  <c r="G27" i="6"/>
  <c r="G22" i="6"/>
  <c r="G15" i="6"/>
  <c r="F19" i="6"/>
  <c r="B37" i="44"/>
  <c r="B39" i="44"/>
  <c r="B63" i="44" l="1"/>
  <c r="E27" i="40"/>
  <c r="E26" i="40"/>
  <c r="E25" i="40"/>
  <c r="E23" i="40"/>
  <c r="E22" i="40"/>
  <c r="H813" i="56" l="1"/>
  <c r="N303" i="44" l="1"/>
  <c r="M303" i="44" s="1"/>
  <c r="L303" i="44" s="1"/>
  <c r="N302" i="44" l="1"/>
  <c r="L302" i="44"/>
  <c r="K303" i="44"/>
  <c r="M302" i="44"/>
  <c r="K302" i="44" l="1"/>
  <c r="J303" i="44"/>
  <c r="J302" i="44" l="1"/>
  <c r="I303" i="44"/>
  <c r="I302" i="44" l="1"/>
  <c r="H303" i="44"/>
  <c r="H302" i="44" l="1"/>
  <c r="G303" i="44"/>
  <c r="G302" i="44" l="1"/>
  <c r="F303" i="44"/>
  <c r="F302" i="44" l="1"/>
  <c r="E303" i="44"/>
  <c r="E302" i="44" l="1"/>
  <c r="D303" i="44"/>
  <c r="D302" i="44" l="1"/>
  <c r="C303" i="44"/>
  <c r="B303" i="44" l="1"/>
  <c r="B302" i="44" s="1"/>
  <c r="C302" i="44"/>
  <c r="K59" i="44" l="1"/>
  <c r="K52" i="44"/>
  <c r="I60" i="44" l="1"/>
  <c r="J59" i="44" s="1"/>
  <c r="M59" i="44" s="1"/>
  <c r="K51" i="44"/>
  <c r="I53" i="44"/>
  <c r="J52" i="44" s="1"/>
  <c r="M52" i="44" s="1"/>
  <c r="K35" i="44"/>
  <c r="C10" i="66" l="1"/>
  <c r="J58" i="44"/>
  <c r="M58" i="44" s="1"/>
  <c r="J51" i="44"/>
  <c r="M51" i="44" s="1"/>
  <c r="J60" i="44" l="1"/>
  <c r="M34" i="44"/>
  <c r="M35" i="44"/>
  <c r="J53" i="44"/>
  <c r="J36" i="44" l="1"/>
  <c r="G26" i="6" l="1"/>
  <c r="W248" i="44"/>
  <c r="W249" i="44"/>
  <c r="W250" i="44"/>
  <c r="G25" i="6" l="1"/>
  <c r="B5" i="43" l="1"/>
  <c r="B6" i="43"/>
  <c r="B7" i="43"/>
  <c r="B8" i="43"/>
  <c r="B9" i="43"/>
  <c r="B10" i="43"/>
  <c r="B11" i="43"/>
  <c r="B12" i="43"/>
  <c r="B13" i="43"/>
  <c r="B14" i="43"/>
  <c r="B15" i="43"/>
  <c r="B16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C31" i="56" l="1"/>
  <c r="H98" i="44" l="1"/>
  <c r="H101" i="44"/>
  <c r="H102" i="44"/>
  <c r="H103" i="44"/>
  <c r="H104" i="44"/>
  <c r="H105" i="44"/>
  <c r="H106" i="44"/>
  <c r="H107" i="44"/>
  <c r="H108" i="44"/>
  <c r="B108" i="44"/>
  <c r="B107" i="44"/>
  <c r="B106" i="44"/>
  <c r="B105" i="44"/>
  <c r="B104" i="44"/>
  <c r="B103" i="44"/>
  <c r="B102" i="44"/>
  <c r="B101" i="44"/>
  <c r="B98" i="44"/>
  <c r="K26" i="6"/>
  <c r="J26" i="6"/>
  <c r="K25" i="6"/>
  <c r="J25" i="6"/>
  <c r="H26" i="6"/>
  <c r="H25" i="6"/>
  <c r="I26" i="6"/>
  <c r="I25" i="6"/>
  <c r="F26" i="6"/>
  <c r="F25" i="6"/>
  <c r="F30" i="6"/>
  <c r="F9" i="6"/>
  <c r="B112" i="44" l="1"/>
  <c r="H109" i="44"/>
  <c r="B113" i="44"/>
  <c r="H112" i="44"/>
  <c r="H113" i="44"/>
  <c r="I764" i="47" l="1"/>
  <c r="F764" i="47"/>
  <c r="H764" i="47"/>
  <c r="K10" i="6" l="1"/>
  <c r="G813" i="56" l="1"/>
  <c r="H811" i="56" l="1"/>
  <c r="H812" i="56"/>
  <c r="G761" i="59" l="1"/>
  <c r="H761" i="59"/>
  <c r="I53" i="43" l="1"/>
  <c r="H865" i="56" l="1"/>
  <c r="J865" i="56" l="1"/>
  <c r="I865" i="56"/>
  <c r="I750" i="49"/>
  <c r="I751" i="49"/>
  <c r="I752" i="49"/>
  <c r="I753" i="49"/>
  <c r="I754" i="49"/>
  <c r="I755" i="49"/>
  <c r="I756" i="49"/>
  <c r="I757" i="49"/>
  <c r="I758" i="49"/>
  <c r="I759" i="49"/>
  <c r="I760" i="49"/>
  <c r="I761" i="49"/>
  <c r="I762" i="49"/>
  <c r="I763" i="49"/>
  <c r="I399" i="49"/>
  <c r="I400" i="49"/>
  <c r="I401" i="49"/>
  <c r="I402" i="49"/>
  <c r="I403" i="49"/>
  <c r="I404" i="49"/>
  <c r="I405" i="49"/>
  <c r="I406" i="49"/>
  <c r="I407" i="49"/>
  <c r="I408" i="49"/>
  <c r="I409" i="49"/>
  <c r="I410" i="49"/>
  <c r="I416" i="49"/>
  <c r="I417" i="49"/>
  <c r="I418" i="49"/>
  <c r="I419" i="49"/>
  <c r="I420" i="49"/>
  <c r="I421" i="49"/>
  <c r="I422" i="49"/>
  <c r="I423" i="49"/>
  <c r="I424" i="49"/>
  <c r="I425" i="49"/>
  <c r="I426" i="49"/>
  <c r="I427" i="49"/>
  <c r="I428" i="49"/>
  <c r="I429" i="49"/>
  <c r="I430" i="49"/>
  <c r="I431" i="49"/>
  <c r="I432" i="49"/>
  <c r="I433" i="49"/>
  <c r="I434" i="49"/>
  <c r="I435" i="49"/>
  <c r="I436" i="49"/>
  <c r="I437" i="49"/>
  <c r="I438" i="49"/>
  <c r="I439" i="49"/>
  <c r="I440" i="49"/>
  <c r="I441" i="49"/>
  <c r="I446" i="49"/>
  <c r="I447" i="49"/>
  <c r="I448" i="49"/>
  <c r="I449" i="49"/>
  <c r="I450" i="49"/>
  <c r="I451" i="49"/>
  <c r="I452" i="49"/>
  <c r="I453" i="49"/>
  <c r="I454" i="49"/>
  <c r="I455" i="49"/>
  <c r="I456" i="49"/>
  <c r="I457" i="49"/>
  <c r="I458" i="49"/>
  <c r="I459" i="49"/>
  <c r="I460" i="49"/>
  <c r="I461" i="49"/>
  <c r="I462" i="49"/>
  <c r="I463" i="49"/>
  <c r="I464" i="49"/>
  <c r="I465" i="49"/>
  <c r="I466" i="49"/>
  <c r="I467" i="49"/>
  <c r="I468" i="49"/>
  <c r="I469" i="49"/>
  <c r="I470" i="49"/>
  <c r="I471" i="49"/>
  <c r="I477" i="49"/>
  <c r="I478" i="49"/>
  <c r="I479" i="49"/>
  <c r="I480" i="49"/>
  <c r="I481" i="49"/>
  <c r="I482" i="49"/>
  <c r="I483" i="49"/>
  <c r="I484" i="49"/>
  <c r="I485" i="49"/>
  <c r="I486" i="49"/>
  <c r="I487" i="49"/>
  <c r="I488" i="49"/>
  <c r="I489" i="49"/>
  <c r="I490" i="49"/>
  <c r="I491" i="49"/>
  <c r="I492" i="49"/>
  <c r="I493" i="49"/>
  <c r="I494" i="49"/>
  <c r="I495" i="49"/>
  <c r="I496" i="49"/>
  <c r="I497" i="49"/>
  <c r="I498" i="49"/>
  <c r="I499" i="49"/>
  <c r="I500" i="49"/>
  <c r="I501" i="49"/>
  <c r="I502" i="49"/>
  <c r="I507" i="49"/>
  <c r="I508" i="49"/>
  <c r="I509" i="49"/>
  <c r="I510" i="49"/>
  <c r="I511" i="49"/>
  <c r="I512" i="49"/>
  <c r="I513" i="49"/>
  <c r="I514" i="49"/>
  <c r="I515" i="49"/>
  <c r="I516" i="49"/>
  <c r="I517" i="49"/>
  <c r="I518" i="49"/>
  <c r="I519" i="49"/>
  <c r="I520" i="49"/>
  <c r="I521" i="49"/>
  <c r="I522" i="49"/>
  <c r="I523" i="49"/>
  <c r="I524" i="49"/>
  <c r="I525" i="49"/>
  <c r="I526" i="49"/>
  <c r="I527" i="49"/>
  <c r="I528" i="49"/>
  <c r="I529" i="49"/>
  <c r="I530" i="49"/>
  <c r="I531" i="49"/>
  <c r="I532" i="49"/>
  <c r="I538" i="49"/>
  <c r="I539" i="49"/>
  <c r="I540" i="49"/>
  <c r="I541" i="49"/>
  <c r="I542" i="49"/>
  <c r="I543" i="49"/>
  <c r="I544" i="49"/>
  <c r="I545" i="49"/>
  <c r="I546" i="49"/>
  <c r="I547" i="49"/>
  <c r="I548" i="49"/>
  <c r="I549" i="49"/>
  <c r="I550" i="49"/>
  <c r="I551" i="49"/>
  <c r="I552" i="49"/>
  <c r="I553" i="49"/>
  <c r="I554" i="49"/>
  <c r="I555" i="49"/>
  <c r="I556" i="49"/>
  <c r="I557" i="49"/>
  <c r="I558" i="49"/>
  <c r="I559" i="49"/>
  <c r="I560" i="49"/>
  <c r="I561" i="49"/>
  <c r="I562" i="49"/>
  <c r="I563" i="49"/>
  <c r="I569" i="49"/>
  <c r="I570" i="49"/>
  <c r="I571" i="49"/>
  <c r="I572" i="49"/>
  <c r="I573" i="49"/>
  <c r="I574" i="49"/>
  <c r="I575" i="49"/>
  <c r="I576" i="49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I589" i="49"/>
  <c r="I590" i="49"/>
  <c r="I591" i="49"/>
  <c r="I592" i="49"/>
  <c r="I593" i="49"/>
  <c r="I594" i="49"/>
  <c r="I599" i="49"/>
  <c r="I600" i="49"/>
  <c r="I601" i="49"/>
  <c r="I602" i="49"/>
  <c r="I603" i="49"/>
  <c r="I604" i="49"/>
  <c r="I605" i="49"/>
  <c r="I606" i="49"/>
  <c r="I607" i="49"/>
  <c r="I608" i="49"/>
  <c r="I609" i="49"/>
  <c r="I610" i="49"/>
  <c r="I611" i="49"/>
  <c r="I612" i="49"/>
  <c r="I613" i="49"/>
  <c r="I614" i="49"/>
  <c r="I615" i="49"/>
  <c r="I616" i="49"/>
  <c r="I617" i="49"/>
  <c r="I618" i="49"/>
  <c r="I619" i="49"/>
  <c r="I620" i="49"/>
  <c r="I621" i="49"/>
  <c r="I622" i="49"/>
  <c r="I623" i="49"/>
  <c r="I624" i="49"/>
  <c r="I630" i="49"/>
  <c r="I631" i="49"/>
  <c r="I632" i="49"/>
  <c r="I633" i="49"/>
  <c r="I634" i="49"/>
  <c r="I635" i="49"/>
  <c r="I636" i="49"/>
  <c r="I637" i="49"/>
  <c r="I638" i="49"/>
  <c r="I639" i="49"/>
  <c r="I640" i="49"/>
  <c r="I641" i="49"/>
  <c r="I642" i="49"/>
  <c r="I643" i="49"/>
  <c r="I644" i="49"/>
  <c r="I645" i="49"/>
  <c r="I646" i="49"/>
  <c r="I647" i="49"/>
  <c r="I648" i="49"/>
  <c r="I649" i="49"/>
  <c r="I650" i="49"/>
  <c r="I651" i="49"/>
  <c r="I652" i="49"/>
  <c r="I653" i="49"/>
  <c r="I654" i="49"/>
  <c r="I655" i="49"/>
  <c r="I660" i="49"/>
  <c r="I661" i="49"/>
  <c r="I662" i="49"/>
  <c r="I663" i="49"/>
  <c r="I664" i="49"/>
  <c r="I665" i="49"/>
  <c r="I666" i="49"/>
  <c r="I667" i="49"/>
  <c r="I668" i="49"/>
  <c r="I669" i="49"/>
  <c r="I670" i="49"/>
  <c r="I671" i="49"/>
  <c r="I672" i="49"/>
  <c r="I673" i="49"/>
  <c r="I674" i="49"/>
  <c r="I675" i="49"/>
  <c r="I676" i="49"/>
  <c r="I677" i="49"/>
  <c r="I678" i="49"/>
  <c r="I679" i="49"/>
  <c r="I680" i="49"/>
  <c r="I681" i="49"/>
  <c r="I682" i="49"/>
  <c r="I683" i="49"/>
  <c r="I684" i="49"/>
  <c r="I685" i="49"/>
  <c r="I691" i="49"/>
  <c r="I692" i="49"/>
  <c r="I693" i="49"/>
  <c r="I694" i="49"/>
  <c r="I695" i="49"/>
  <c r="I696" i="49"/>
  <c r="I697" i="49"/>
  <c r="I698" i="49"/>
  <c r="I699" i="49"/>
  <c r="I700" i="49"/>
  <c r="I701" i="49"/>
  <c r="I702" i="49"/>
  <c r="I703" i="49"/>
  <c r="I704" i="49"/>
  <c r="I705" i="49"/>
  <c r="I706" i="49"/>
  <c r="I707" i="49"/>
  <c r="I708" i="49"/>
  <c r="I709" i="49"/>
  <c r="I710" i="49"/>
  <c r="I711" i="49"/>
  <c r="I712" i="49"/>
  <c r="I713" i="49"/>
  <c r="I714" i="49"/>
  <c r="I715" i="49"/>
  <c r="I716" i="49"/>
  <c r="I722" i="49"/>
  <c r="I723" i="49"/>
  <c r="I724" i="49"/>
  <c r="I725" i="49"/>
  <c r="I726" i="49"/>
  <c r="I727" i="49"/>
  <c r="I728" i="49"/>
  <c r="I729" i="49"/>
  <c r="I730" i="49"/>
  <c r="I731" i="49"/>
  <c r="I732" i="49"/>
  <c r="I733" i="49"/>
  <c r="I734" i="49"/>
  <c r="I735" i="49"/>
  <c r="I736" i="49"/>
  <c r="I737" i="49"/>
  <c r="I738" i="49"/>
  <c r="I739" i="49"/>
  <c r="I740" i="49"/>
  <c r="I741" i="49"/>
  <c r="I742" i="49"/>
  <c r="I743" i="49"/>
  <c r="I744" i="49"/>
  <c r="I745" i="49"/>
  <c r="I746" i="49"/>
  <c r="I747" i="49"/>
  <c r="I47" i="49" l="1"/>
  <c r="B54" i="43" l="1"/>
  <c r="B55" i="43"/>
  <c r="B56" i="43"/>
  <c r="B57" i="43"/>
  <c r="B58" i="43"/>
  <c r="B59" i="43"/>
  <c r="B60" i="43"/>
  <c r="B61" i="43"/>
  <c r="B62" i="43"/>
  <c r="B63" i="43"/>
  <c r="B64" i="43"/>
  <c r="B53" i="43"/>
  <c r="I399" i="47"/>
  <c r="I400" i="47"/>
  <c r="I401" i="47"/>
  <c r="I402" i="47"/>
  <c r="I403" i="47"/>
  <c r="I404" i="47"/>
  <c r="I405" i="47"/>
  <c r="I406" i="47"/>
  <c r="I407" i="47"/>
  <c r="I409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F454" i="47"/>
  <c r="F462" i="47"/>
  <c r="F466" i="47"/>
  <c r="I476" i="47"/>
  <c r="I477" i="47"/>
  <c r="I478" i="47"/>
  <c r="I480" i="47"/>
  <c r="I481" i="47"/>
  <c r="I483" i="47"/>
  <c r="I484" i="47"/>
  <c r="I485" i="47"/>
  <c r="I486" i="47"/>
  <c r="I487" i="47"/>
  <c r="I489" i="47"/>
  <c r="I490" i="47"/>
  <c r="I491" i="47"/>
  <c r="I492" i="47"/>
  <c r="I493" i="47"/>
  <c r="I494" i="47"/>
  <c r="I496" i="47"/>
  <c r="I497" i="47"/>
  <c r="I498" i="47"/>
  <c r="I499" i="47"/>
  <c r="I500" i="47"/>
  <c r="I501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2" i="47"/>
  <c r="I523" i="47"/>
  <c r="I524" i="47"/>
  <c r="I525" i="47"/>
  <c r="I527" i="47"/>
  <c r="I528" i="47"/>
  <c r="I529" i="47"/>
  <c r="I531" i="47"/>
  <c r="I537" i="47"/>
  <c r="I540" i="47"/>
  <c r="I541" i="47"/>
  <c r="I542" i="47"/>
  <c r="I543" i="47"/>
  <c r="I544" i="47"/>
  <c r="I545" i="47"/>
  <c r="I546" i="47"/>
  <c r="I547" i="47"/>
  <c r="I548" i="47"/>
  <c r="I549" i="47"/>
  <c r="I550" i="47"/>
  <c r="I552" i="47"/>
  <c r="I553" i="47"/>
  <c r="I554" i="47"/>
  <c r="I555" i="47"/>
  <c r="I556" i="47"/>
  <c r="I557" i="47"/>
  <c r="I558" i="47"/>
  <c r="I560" i="47"/>
  <c r="I562" i="47"/>
  <c r="I568" i="47"/>
  <c r="I570" i="47"/>
  <c r="I572" i="47"/>
  <c r="I573" i="47"/>
  <c r="I574" i="47"/>
  <c r="I576" i="47"/>
  <c r="I578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C750" i="49"/>
  <c r="C751" i="49"/>
  <c r="C752" i="49"/>
  <c r="C753" i="49"/>
  <c r="C754" i="49"/>
  <c r="C755" i="49"/>
  <c r="C756" i="49"/>
  <c r="C757" i="49"/>
  <c r="C758" i="49"/>
  <c r="C759" i="49"/>
  <c r="C760" i="49"/>
  <c r="C761" i="49"/>
  <c r="C762" i="49"/>
  <c r="C763" i="49"/>
  <c r="I39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3" i="47"/>
  <c r="F71" i="43"/>
  <c r="H108" i="47" l="1"/>
  <c r="F625" i="47"/>
  <c r="F260" i="47"/>
  <c r="F564" i="47"/>
  <c r="F138" i="47"/>
  <c r="F534" i="47"/>
  <c r="F199" i="47"/>
  <c r="F503" i="47"/>
  <c r="F169" i="47"/>
  <c r="F413" i="47"/>
  <c r="F47" i="47"/>
  <c r="F566" i="47"/>
  <c r="F261" i="47"/>
  <c r="F200" i="47"/>
  <c r="F717" i="47"/>
  <c r="F352" i="47"/>
  <c r="F474" i="47"/>
  <c r="F108" i="47"/>
  <c r="F627" i="47"/>
  <c r="F354" i="47"/>
  <c r="F170" i="47"/>
  <c r="F658" i="47"/>
  <c r="F201" i="47"/>
  <c r="I689" i="47"/>
  <c r="F689" i="47"/>
  <c r="F505" i="47"/>
  <c r="F48" i="47"/>
  <c r="I720" i="47"/>
  <c r="F720" i="47"/>
  <c r="F536" i="47"/>
  <c r="F383" i="47"/>
  <c r="F231" i="47"/>
  <c r="F567" i="47"/>
  <c r="F262" i="47"/>
  <c r="F78" i="47"/>
  <c r="I414" i="47"/>
  <c r="F414" i="47"/>
  <c r="F109" i="47"/>
  <c r="F597" i="47"/>
  <c r="F292" i="47"/>
  <c r="I628" i="47"/>
  <c r="F628" i="47"/>
  <c r="F444" i="47"/>
  <c r="F323" i="47"/>
  <c r="F139" i="47"/>
  <c r="I475" i="47"/>
  <c r="F475" i="47"/>
  <c r="F106" i="47"/>
  <c r="F686" i="47"/>
  <c r="F45" i="47"/>
  <c r="F320" i="47"/>
  <c r="F259" i="47"/>
  <c r="F137" i="47"/>
  <c r="I533" i="47"/>
  <c r="F533" i="47"/>
  <c r="F472" i="47"/>
  <c r="F167" i="47"/>
  <c r="I411" i="47"/>
  <c r="I412" i="49"/>
  <c r="F411" i="47"/>
  <c r="I503" i="47"/>
  <c r="I168" i="47"/>
  <c r="I199" i="47"/>
  <c r="I625" i="47"/>
  <c r="I686" i="47"/>
  <c r="I564" i="47"/>
  <c r="I595" i="47"/>
  <c r="I260" i="47"/>
  <c r="I658" i="47"/>
  <c r="I321" i="47"/>
  <c r="I505" i="47"/>
  <c r="I352" i="47"/>
  <c r="I687" i="47"/>
  <c r="I718" i="47"/>
  <c r="I140" i="47"/>
  <c r="I626" i="47"/>
  <c r="I473" i="47"/>
  <c r="I717" i="47"/>
  <c r="I565" i="47"/>
  <c r="I108" i="47"/>
  <c r="I48" i="47"/>
  <c r="I688" i="47"/>
  <c r="F688" i="47"/>
  <c r="I504" i="47"/>
  <c r="F504" i="47"/>
  <c r="I719" i="47"/>
  <c r="F719" i="47"/>
  <c r="F535" i="47"/>
  <c r="F382" i="47"/>
  <c r="I78" i="47"/>
  <c r="I109" i="47"/>
  <c r="I413" i="47"/>
  <c r="I474" i="47"/>
  <c r="C749" i="49"/>
  <c r="F748" i="47"/>
  <c r="I596" i="47"/>
  <c r="F596" i="47"/>
  <c r="I657" i="47"/>
  <c r="F657" i="47"/>
  <c r="I627" i="47"/>
  <c r="F443" i="47"/>
  <c r="I450" i="47"/>
  <c r="F450" i="47"/>
  <c r="I465" i="47"/>
  <c r="F465" i="47"/>
  <c r="I457" i="47"/>
  <c r="F457" i="47"/>
  <c r="I449" i="47"/>
  <c r="F449" i="47"/>
  <c r="I320" i="47"/>
  <c r="I464" i="47"/>
  <c r="F464" i="47"/>
  <c r="I456" i="47"/>
  <c r="F456" i="47"/>
  <c r="I448" i="47"/>
  <c r="F448" i="47"/>
  <c r="I458" i="47"/>
  <c r="F458" i="47"/>
  <c r="I410" i="47"/>
  <c r="I471" i="47"/>
  <c r="I463" i="47"/>
  <c r="F463" i="47"/>
  <c r="I455" i="47"/>
  <c r="F455" i="47"/>
  <c r="I447" i="47"/>
  <c r="F447" i="47"/>
  <c r="I470" i="47"/>
  <c r="F470" i="47"/>
  <c r="I446" i="47"/>
  <c r="F446" i="47"/>
  <c r="I442" i="47"/>
  <c r="F442" i="47"/>
  <c r="I685" i="47"/>
  <c r="I469" i="47"/>
  <c r="F469" i="47"/>
  <c r="I461" i="47"/>
  <c r="F461" i="47"/>
  <c r="I453" i="47"/>
  <c r="F453" i="47"/>
  <c r="I445" i="47"/>
  <c r="F445" i="47"/>
  <c r="I532" i="47"/>
  <c r="I468" i="47"/>
  <c r="F468" i="47"/>
  <c r="I460" i="47"/>
  <c r="F460" i="47"/>
  <c r="I452" i="47"/>
  <c r="F452" i="47"/>
  <c r="I467" i="47"/>
  <c r="F467" i="47"/>
  <c r="I459" i="47"/>
  <c r="F459" i="47"/>
  <c r="I451" i="47"/>
  <c r="F451" i="47"/>
  <c r="I443" i="47"/>
  <c r="I441" i="47"/>
  <c r="I472" i="47"/>
  <c r="H386" i="47"/>
  <c r="I386" i="47"/>
  <c r="H378" i="47"/>
  <c r="I378" i="47"/>
  <c r="H370" i="47"/>
  <c r="I370" i="47"/>
  <c r="H362" i="47"/>
  <c r="I362" i="47"/>
  <c r="H354" i="47"/>
  <c r="I354" i="47"/>
  <c r="H346" i="47"/>
  <c r="I346" i="47"/>
  <c r="H338" i="47"/>
  <c r="I338" i="47"/>
  <c r="H330" i="47"/>
  <c r="I330" i="47"/>
  <c r="H322" i="47"/>
  <c r="I322" i="47"/>
  <c r="H314" i="47"/>
  <c r="I314" i="47"/>
  <c r="H306" i="47"/>
  <c r="I306" i="47"/>
  <c r="H298" i="47"/>
  <c r="I298" i="47"/>
  <c r="H290" i="47"/>
  <c r="I290" i="47"/>
  <c r="H282" i="47"/>
  <c r="I282" i="47"/>
  <c r="H274" i="47"/>
  <c r="I274" i="47"/>
  <c r="H266" i="47"/>
  <c r="I266" i="47"/>
  <c r="H258" i="47"/>
  <c r="I258" i="47"/>
  <c r="H250" i="47"/>
  <c r="I250" i="47"/>
  <c r="H242" i="47"/>
  <c r="I242" i="47"/>
  <c r="H234" i="47"/>
  <c r="I234" i="47"/>
  <c r="H226" i="47"/>
  <c r="I226" i="47"/>
  <c r="H218" i="47"/>
  <c r="I218" i="47"/>
  <c r="H210" i="47"/>
  <c r="I210" i="47"/>
  <c r="H202" i="47"/>
  <c r="I202" i="47"/>
  <c r="H194" i="47"/>
  <c r="I194" i="47"/>
  <c r="H186" i="47"/>
  <c r="I186" i="47"/>
  <c r="H178" i="47"/>
  <c r="I178" i="47"/>
  <c r="H170" i="47"/>
  <c r="I170" i="47"/>
  <c r="H162" i="47"/>
  <c r="I162" i="47"/>
  <c r="H154" i="47"/>
  <c r="I154" i="47"/>
  <c r="H146" i="47"/>
  <c r="I146" i="47"/>
  <c r="H138" i="47"/>
  <c r="I138" i="47"/>
  <c r="H130" i="47"/>
  <c r="I130" i="47"/>
  <c r="H122" i="47"/>
  <c r="I122" i="47"/>
  <c r="H114" i="47"/>
  <c r="I114" i="47"/>
  <c r="I106" i="47"/>
  <c r="I98" i="47"/>
  <c r="I90" i="47"/>
  <c r="I82" i="47"/>
  <c r="H74" i="47"/>
  <c r="I74" i="47"/>
  <c r="H66" i="47"/>
  <c r="I66" i="47"/>
  <c r="H58" i="47"/>
  <c r="I58" i="47"/>
  <c r="H50" i="47"/>
  <c r="I50" i="47"/>
  <c r="H42" i="47"/>
  <c r="I42" i="47"/>
  <c r="H34" i="47"/>
  <c r="I34" i="47"/>
  <c r="H26" i="47"/>
  <c r="I26" i="47"/>
  <c r="H18" i="47"/>
  <c r="I18" i="47"/>
  <c r="H10" i="47"/>
  <c r="I10" i="47"/>
  <c r="C539" i="49"/>
  <c r="I538" i="47"/>
  <c r="C531" i="49"/>
  <c r="I530" i="47"/>
  <c r="C507" i="49"/>
  <c r="I506" i="47"/>
  <c r="C483" i="49"/>
  <c r="I482" i="47"/>
  <c r="C467" i="49"/>
  <c r="I466" i="47"/>
  <c r="H393" i="47"/>
  <c r="I393" i="47"/>
  <c r="H369" i="47"/>
  <c r="I369" i="47"/>
  <c r="H361" i="47"/>
  <c r="I361" i="47"/>
  <c r="H353" i="47"/>
  <c r="I353" i="47"/>
  <c r="H345" i="47"/>
  <c r="I345" i="47"/>
  <c r="H337" i="47"/>
  <c r="I337" i="47"/>
  <c r="H329" i="47"/>
  <c r="I329" i="47"/>
  <c r="H313" i="47"/>
  <c r="I313" i="47"/>
  <c r="H305" i="47"/>
  <c r="I305" i="47"/>
  <c r="H297" i="47"/>
  <c r="I297" i="47"/>
  <c r="H289" i="47"/>
  <c r="I289" i="47"/>
  <c r="H281" i="47"/>
  <c r="I281" i="47"/>
  <c r="H273" i="47"/>
  <c r="I273" i="47"/>
  <c r="H265" i="47"/>
  <c r="I265" i="47"/>
  <c r="H257" i="47"/>
  <c r="I257" i="47"/>
  <c r="H249" i="47"/>
  <c r="I249" i="47"/>
  <c r="H241" i="47"/>
  <c r="I241" i="47"/>
  <c r="H233" i="47"/>
  <c r="I233" i="47"/>
  <c r="H225" i="47"/>
  <c r="I225" i="47"/>
  <c r="H217" i="47"/>
  <c r="I217" i="47"/>
  <c r="H209" i="47"/>
  <c r="I209" i="47"/>
  <c r="H201" i="47"/>
  <c r="I201" i="47"/>
  <c r="H193" i="47"/>
  <c r="I193" i="47"/>
  <c r="H185" i="47"/>
  <c r="I185" i="47"/>
  <c r="H177" i="47"/>
  <c r="I177" i="47"/>
  <c r="H169" i="47"/>
  <c r="I169" i="47"/>
  <c r="H161" i="47"/>
  <c r="I161" i="47"/>
  <c r="H153" i="47"/>
  <c r="I153" i="47"/>
  <c r="H145" i="47"/>
  <c r="I145" i="47"/>
  <c r="H137" i="47"/>
  <c r="I137" i="47"/>
  <c r="H129" i="47"/>
  <c r="I129" i="47"/>
  <c r="H121" i="47"/>
  <c r="I121" i="47"/>
  <c r="H113" i="47"/>
  <c r="I113" i="47"/>
  <c r="I105" i="47"/>
  <c r="I97" i="47"/>
  <c r="I89" i="47"/>
  <c r="I81" i="47"/>
  <c r="H73" i="47"/>
  <c r="I73" i="47"/>
  <c r="H65" i="47"/>
  <c r="I65" i="47"/>
  <c r="H57" i="47"/>
  <c r="I57" i="47"/>
  <c r="H49" i="47"/>
  <c r="I49" i="47"/>
  <c r="H41" i="47"/>
  <c r="I41" i="47"/>
  <c r="H33" i="47"/>
  <c r="I33" i="47"/>
  <c r="H25" i="47"/>
  <c r="I25" i="47"/>
  <c r="H17" i="47"/>
  <c r="I17" i="47"/>
  <c r="H9" i="47"/>
  <c r="I9" i="47"/>
  <c r="C578" i="49"/>
  <c r="I577" i="47"/>
  <c r="C570" i="49"/>
  <c r="I569" i="47"/>
  <c r="C562" i="49"/>
  <c r="I561" i="47"/>
  <c r="C522" i="49"/>
  <c r="I521" i="47"/>
  <c r="H394" i="47"/>
  <c r="I394" i="47"/>
  <c r="H392" i="47"/>
  <c r="I392" i="47"/>
  <c r="H384" i="47"/>
  <c r="I384" i="47"/>
  <c r="H376" i="47"/>
  <c r="I376" i="47"/>
  <c r="H368" i="47"/>
  <c r="I368" i="47"/>
  <c r="H360" i="47"/>
  <c r="I360" i="47"/>
  <c r="H344" i="47"/>
  <c r="I344" i="47"/>
  <c r="H336" i="47"/>
  <c r="I336" i="47"/>
  <c r="H328" i="47"/>
  <c r="I328" i="47"/>
  <c r="H312" i="47"/>
  <c r="I312" i="47"/>
  <c r="H304" i="47"/>
  <c r="I304" i="47"/>
  <c r="H296" i="47"/>
  <c r="I296" i="47"/>
  <c r="H288" i="47"/>
  <c r="I288" i="47"/>
  <c r="H280" i="47"/>
  <c r="I280" i="47"/>
  <c r="H272" i="47"/>
  <c r="I272" i="47"/>
  <c r="H264" i="47"/>
  <c r="I264" i="47"/>
  <c r="H256" i="47"/>
  <c r="I256" i="47"/>
  <c r="H248" i="47"/>
  <c r="I248" i="47"/>
  <c r="H240" i="47"/>
  <c r="I240" i="47"/>
  <c r="H232" i="47"/>
  <c r="I232" i="47"/>
  <c r="H224" i="47"/>
  <c r="I224" i="47"/>
  <c r="H216" i="47"/>
  <c r="I216" i="47"/>
  <c r="H208" i="47"/>
  <c r="I208" i="47"/>
  <c r="H200" i="47"/>
  <c r="I200" i="47"/>
  <c r="H192" i="47"/>
  <c r="I192" i="47"/>
  <c r="H184" i="47"/>
  <c r="I184" i="47"/>
  <c r="H176" i="47"/>
  <c r="I176" i="47"/>
  <c r="H160" i="47"/>
  <c r="I160" i="47"/>
  <c r="H152" i="47"/>
  <c r="I152" i="47"/>
  <c r="H144" i="47"/>
  <c r="I144" i="47"/>
  <c r="H136" i="47"/>
  <c r="I136" i="47"/>
  <c r="H128" i="47"/>
  <c r="I128" i="47"/>
  <c r="H120" i="47"/>
  <c r="I120" i="47"/>
  <c r="H112" i="47"/>
  <c r="I112" i="47"/>
  <c r="I104" i="47"/>
  <c r="I96" i="47"/>
  <c r="I88" i="47"/>
  <c r="I80" i="47"/>
  <c r="H72" i="47"/>
  <c r="I72" i="47"/>
  <c r="H64" i="47"/>
  <c r="I64" i="47"/>
  <c r="H56" i="47"/>
  <c r="I56" i="47"/>
  <c r="H40" i="47"/>
  <c r="I40" i="47"/>
  <c r="H32" i="47"/>
  <c r="I32" i="47"/>
  <c r="H24" i="47"/>
  <c r="I24" i="47"/>
  <c r="H16" i="47"/>
  <c r="I16" i="47"/>
  <c r="H8" i="47"/>
  <c r="I8" i="47"/>
  <c r="C657" i="49"/>
  <c r="I656" i="47"/>
  <c r="I624" i="47"/>
  <c r="C537" i="49"/>
  <c r="I536" i="47"/>
  <c r="C521" i="49"/>
  <c r="I520" i="47"/>
  <c r="C489" i="49"/>
  <c r="I488" i="47"/>
  <c r="C409" i="49"/>
  <c r="I408" i="47"/>
  <c r="H397" i="47"/>
  <c r="I397" i="47"/>
  <c r="H385" i="47"/>
  <c r="I385" i="47"/>
  <c r="H391" i="47"/>
  <c r="I391" i="47"/>
  <c r="H383" i="47"/>
  <c r="I383" i="47"/>
  <c r="H375" i="47"/>
  <c r="I375" i="47"/>
  <c r="H367" i="47"/>
  <c r="I367" i="47"/>
  <c r="H359" i="47"/>
  <c r="I359" i="47"/>
  <c r="H351" i="47"/>
  <c r="I351" i="47"/>
  <c r="H343" i="47"/>
  <c r="I343" i="47"/>
  <c r="H335" i="47"/>
  <c r="I335" i="47"/>
  <c r="H327" i="47"/>
  <c r="I327" i="47"/>
  <c r="H319" i="47"/>
  <c r="I319" i="47"/>
  <c r="H311" i="47"/>
  <c r="I311" i="47"/>
  <c r="H303" i="47"/>
  <c r="I303" i="47"/>
  <c r="H295" i="47"/>
  <c r="I295" i="47"/>
  <c r="H287" i="47"/>
  <c r="I287" i="47"/>
  <c r="H279" i="47"/>
  <c r="I279" i="47"/>
  <c r="H271" i="47"/>
  <c r="I271" i="47"/>
  <c r="H263" i="47"/>
  <c r="I263" i="47"/>
  <c r="H255" i="47"/>
  <c r="I255" i="47"/>
  <c r="H247" i="47"/>
  <c r="I247" i="47"/>
  <c r="H239" i="47"/>
  <c r="I239" i="47"/>
  <c r="H231" i="47"/>
  <c r="I231" i="47"/>
  <c r="H223" i="47"/>
  <c r="I223" i="47"/>
  <c r="H215" i="47"/>
  <c r="I215" i="47"/>
  <c r="H207" i="47"/>
  <c r="I207" i="47"/>
  <c r="H191" i="47"/>
  <c r="I191" i="47"/>
  <c r="H183" i="47"/>
  <c r="I183" i="47"/>
  <c r="H175" i="47"/>
  <c r="I175" i="47"/>
  <c r="H167" i="47"/>
  <c r="I167" i="47"/>
  <c r="H159" i="47"/>
  <c r="I159" i="47"/>
  <c r="H151" i="47"/>
  <c r="I151" i="47"/>
  <c r="H143" i="47"/>
  <c r="I143" i="47"/>
  <c r="H135" i="47"/>
  <c r="I135" i="47"/>
  <c r="H127" i="47"/>
  <c r="I127" i="47"/>
  <c r="H119" i="47"/>
  <c r="I119" i="47"/>
  <c r="H111" i="47"/>
  <c r="I111" i="47"/>
  <c r="I103" i="47"/>
  <c r="I95" i="47"/>
  <c r="I87" i="47"/>
  <c r="I79" i="47"/>
  <c r="H71" i="47"/>
  <c r="I71" i="47"/>
  <c r="H63" i="47"/>
  <c r="I63" i="47"/>
  <c r="H55" i="47"/>
  <c r="I55" i="47"/>
  <c r="I47" i="47"/>
  <c r="H39" i="47"/>
  <c r="I39" i="47"/>
  <c r="H31" i="47"/>
  <c r="I31" i="47"/>
  <c r="H23" i="47"/>
  <c r="I23" i="47"/>
  <c r="H15" i="47"/>
  <c r="I15" i="47"/>
  <c r="H7" i="47"/>
  <c r="I7" i="47"/>
  <c r="C576" i="49"/>
  <c r="I575" i="47"/>
  <c r="C568" i="49"/>
  <c r="I567" i="47"/>
  <c r="C560" i="49"/>
  <c r="I559" i="47"/>
  <c r="C552" i="49"/>
  <c r="I551" i="47"/>
  <c r="C536" i="49"/>
  <c r="I535" i="47"/>
  <c r="C496" i="49"/>
  <c r="I495" i="47"/>
  <c r="C480" i="49"/>
  <c r="I479" i="47"/>
  <c r="H389" i="47"/>
  <c r="I389" i="47"/>
  <c r="H377" i="47"/>
  <c r="I377" i="47"/>
  <c r="H390" i="47"/>
  <c r="I390" i="47"/>
  <c r="H382" i="47"/>
  <c r="I382" i="47"/>
  <c r="H374" i="47"/>
  <c r="I374" i="47"/>
  <c r="H366" i="47"/>
  <c r="I366" i="47"/>
  <c r="H358" i="47"/>
  <c r="I358" i="47"/>
  <c r="H350" i="47"/>
  <c r="I350" i="47"/>
  <c r="H342" i="47"/>
  <c r="I342" i="47"/>
  <c r="H334" i="47"/>
  <c r="I334" i="47"/>
  <c r="H326" i="47"/>
  <c r="I326" i="47"/>
  <c r="H318" i="47"/>
  <c r="I318" i="47"/>
  <c r="H310" i="47"/>
  <c r="I310" i="47"/>
  <c r="H302" i="47"/>
  <c r="I302" i="47"/>
  <c r="H294" i="47"/>
  <c r="I294" i="47"/>
  <c r="H286" i="47"/>
  <c r="I286" i="47"/>
  <c r="H278" i="47"/>
  <c r="I278" i="47"/>
  <c r="H270" i="47"/>
  <c r="I270" i="47"/>
  <c r="H262" i="47"/>
  <c r="I262" i="47"/>
  <c r="H254" i="47"/>
  <c r="I254" i="47"/>
  <c r="H246" i="47"/>
  <c r="I246" i="47"/>
  <c r="H238" i="47"/>
  <c r="I238" i="47"/>
  <c r="H230" i="47"/>
  <c r="I230" i="47"/>
  <c r="H222" i="47"/>
  <c r="I222" i="47"/>
  <c r="H214" i="47"/>
  <c r="I214" i="47"/>
  <c r="H206" i="47"/>
  <c r="I206" i="47"/>
  <c r="I198" i="47"/>
  <c r="H190" i="47"/>
  <c r="I190" i="47"/>
  <c r="H182" i="47"/>
  <c r="I182" i="47"/>
  <c r="H174" i="47"/>
  <c r="I174" i="47"/>
  <c r="H166" i="47"/>
  <c r="I166" i="47"/>
  <c r="H158" i="47"/>
  <c r="I158" i="47"/>
  <c r="H150" i="47"/>
  <c r="I150" i="47"/>
  <c r="H142" i="47"/>
  <c r="I142" i="47"/>
  <c r="H134" i="47"/>
  <c r="I134" i="47"/>
  <c r="H126" i="47"/>
  <c r="I126" i="47"/>
  <c r="H118" i="47"/>
  <c r="I118" i="47"/>
  <c r="H110" i="47"/>
  <c r="I110" i="47"/>
  <c r="I102" i="47"/>
  <c r="I94" i="47"/>
  <c r="I86" i="47"/>
  <c r="H70" i="47"/>
  <c r="I70" i="47"/>
  <c r="H62" i="47"/>
  <c r="I62" i="47"/>
  <c r="H54" i="47"/>
  <c r="I54" i="47"/>
  <c r="H46" i="47"/>
  <c r="I46" i="47"/>
  <c r="H38" i="47"/>
  <c r="I38" i="47"/>
  <c r="H30" i="47"/>
  <c r="I30" i="47"/>
  <c r="H22" i="47"/>
  <c r="I22" i="47"/>
  <c r="H14" i="47"/>
  <c r="I14" i="47"/>
  <c r="H6" i="47"/>
  <c r="I6" i="47"/>
  <c r="C567" i="49"/>
  <c r="I566" i="47"/>
  <c r="C535" i="49"/>
  <c r="I534" i="47"/>
  <c r="C527" i="49"/>
  <c r="I526" i="47"/>
  <c r="I502" i="47"/>
  <c r="C463" i="49"/>
  <c r="I462" i="47"/>
  <c r="C455" i="49"/>
  <c r="I454" i="47"/>
  <c r="H373" i="47"/>
  <c r="I373" i="47"/>
  <c r="H365" i="47"/>
  <c r="I365" i="47"/>
  <c r="H357" i="47"/>
  <c r="I357" i="47"/>
  <c r="H349" i="47"/>
  <c r="I349" i="47"/>
  <c r="H341" i="47"/>
  <c r="I341" i="47"/>
  <c r="H333" i="47"/>
  <c r="I333" i="47"/>
  <c r="H325" i="47"/>
  <c r="I325" i="47"/>
  <c r="H317" i="47"/>
  <c r="I317" i="47"/>
  <c r="H309" i="47"/>
  <c r="I309" i="47"/>
  <c r="H301" i="47"/>
  <c r="I301" i="47"/>
  <c r="H293" i="47"/>
  <c r="I293" i="47"/>
  <c r="H285" i="47"/>
  <c r="I285" i="47"/>
  <c r="H277" i="47"/>
  <c r="I277" i="47"/>
  <c r="H269" i="47"/>
  <c r="I269" i="47"/>
  <c r="H261" i="47"/>
  <c r="I261" i="47"/>
  <c r="H253" i="47"/>
  <c r="I253" i="47"/>
  <c r="H245" i="47"/>
  <c r="I245" i="47"/>
  <c r="H237" i="47"/>
  <c r="I237" i="47"/>
  <c r="H229" i="47"/>
  <c r="I229" i="47"/>
  <c r="H221" i="47"/>
  <c r="I221" i="47"/>
  <c r="H213" i="47"/>
  <c r="I213" i="47"/>
  <c r="H205" i="47"/>
  <c r="I205" i="47"/>
  <c r="H197" i="47"/>
  <c r="I197" i="47"/>
  <c r="H189" i="47"/>
  <c r="I189" i="47"/>
  <c r="H181" i="47"/>
  <c r="I181" i="47"/>
  <c r="H173" i="47"/>
  <c r="I173" i="47"/>
  <c r="H165" i="47"/>
  <c r="I165" i="47"/>
  <c r="H157" i="47"/>
  <c r="I157" i="47"/>
  <c r="H149" i="47"/>
  <c r="I149" i="47"/>
  <c r="H141" i="47"/>
  <c r="I141" i="47"/>
  <c r="H133" i="47"/>
  <c r="I133" i="47"/>
  <c r="H125" i="47"/>
  <c r="I125" i="47"/>
  <c r="H117" i="47"/>
  <c r="I117" i="47"/>
  <c r="I101" i="47"/>
  <c r="I93" i="47"/>
  <c r="I85" i="47"/>
  <c r="H77" i="47"/>
  <c r="I77" i="47"/>
  <c r="H69" i="47"/>
  <c r="I69" i="47"/>
  <c r="H61" i="47"/>
  <c r="I61" i="47"/>
  <c r="H53" i="47"/>
  <c r="I53" i="47"/>
  <c r="H45" i="47"/>
  <c r="I45" i="47"/>
  <c r="H37" i="47"/>
  <c r="I37" i="47"/>
  <c r="H29" i="47"/>
  <c r="I29" i="47"/>
  <c r="H21" i="47"/>
  <c r="I21" i="47"/>
  <c r="H13" i="47"/>
  <c r="I13" i="47"/>
  <c r="H5" i="47"/>
  <c r="I5" i="47"/>
  <c r="C598" i="49"/>
  <c r="I597" i="47"/>
  <c r="H396" i="47"/>
  <c r="I396" i="47"/>
  <c r="H388" i="47"/>
  <c r="I388" i="47"/>
  <c r="H380" i="47"/>
  <c r="I380" i="47"/>
  <c r="H372" i="47"/>
  <c r="I372" i="47"/>
  <c r="H364" i="47"/>
  <c r="I364" i="47"/>
  <c r="H356" i="47"/>
  <c r="I356" i="47"/>
  <c r="H348" i="47"/>
  <c r="I348" i="47"/>
  <c r="H340" i="47"/>
  <c r="I340" i="47"/>
  <c r="H332" i="47"/>
  <c r="I332" i="47"/>
  <c r="H324" i="47"/>
  <c r="I324" i="47"/>
  <c r="H316" i="47"/>
  <c r="I316" i="47"/>
  <c r="H308" i="47"/>
  <c r="I308" i="47"/>
  <c r="H300" i="47"/>
  <c r="I300" i="47"/>
  <c r="H292" i="47"/>
  <c r="I292" i="47"/>
  <c r="H284" i="47"/>
  <c r="I284" i="47"/>
  <c r="H276" i="47"/>
  <c r="I276" i="47"/>
  <c r="H268" i="47"/>
  <c r="I268" i="47"/>
  <c r="H252" i="47"/>
  <c r="I252" i="47"/>
  <c r="H244" i="47"/>
  <c r="I244" i="47"/>
  <c r="H236" i="47"/>
  <c r="I236" i="47"/>
  <c r="H228" i="47"/>
  <c r="I228" i="47"/>
  <c r="H220" i="47"/>
  <c r="I220" i="47"/>
  <c r="H212" i="47"/>
  <c r="I212" i="47"/>
  <c r="H204" i="47"/>
  <c r="I204" i="47"/>
  <c r="H196" i="47"/>
  <c r="I196" i="47"/>
  <c r="H188" i="47"/>
  <c r="I188" i="47"/>
  <c r="H180" i="47"/>
  <c r="I180" i="47"/>
  <c r="H172" i="47"/>
  <c r="I172" i="47"/>
  <c r="H164" i="47"/>
  <c r="I164" i="47"/>
  <c r="H156" i="47"/>
  <c r="I156" i="47"/>
  <c r="H148" i="47"/>
  <c r="I148" i="47"/>
  <c r="H132" i="47"/>
  <c r="I132" i="47"/>
  <c r="H124" i="47"/>
  <c r="I124" i="47"/>
  <c r="H116" i="47"/>
  <c r="I116" i="47"/>
  <c r="I100" i="47"/>
  <c r="I92" i="47"/>
  <c r="I84" i="47"/>
  <c r="H76" i="47"/>
  <c r="I76" i="47"/>
  <c r="H68" i="47"/>
  <c r="I68" i="47"/>
  <c r="H60" i="47"/>
  <c r="I60" i="47"/>
  <c r="H52" i="47"/>
  <c r="I52" i="47"/>
  <c r="H44" i="47"/>
  <c r="I44" i="47"/>
  <c r="H36" i="47"/>
  <c r="I36" i="47"/>
  <c r="H28" i="47"/>
  <c r="I28" i="47"/>
  <c r="H20" i="47"/>
  <c r="I20" i="47"/>
  <c r="H12" i="47"/>
  <c r="I12" i="47"/>
  <c r="H4" i="47"/>
  <c r="I4" i="47"/>
  <c r="I716" i="47"/>
  <c r="C445" i="49"/>
  <c r="I444" i="47"/>
  <c r="I412" i="47"/>
  <c r="H381" i="47"/>
  <c r="I381" i="47"/>
  <c r="H395" i="47"/>
  <c r="I395" i="47"/>
  <c r="H387" i="47"/>
  <c r="I387" i="47"/>
  <c r="H379" i="47"/>
  <c r="I379" i="47"/>
  <c r="H371" i="47"/>
  <c r="I371" i="47"/>
  <c r="H363" i="47"/>
  <c r="I363" i="47"/>
  <c r="H355" i="47"/>
  <c r="I355" i="47"/>
  <c r="H347" i="47"/>
  <c r="I347" i="47"/>
  <c r="H339" i="47"/>
  <c r="I339" i="47"/>
  <c r="H331" i="47"/>
  <c r="I331" i="47"/>
  <c r="H323" i="47"/>
  <c r="I323" i="47"/>
  <c r="H315" i="47"/>
  <c r="I315" i="47"/>
  <c r="H307" i="47"/>
  <c r="I307" i="47"/>
  <c r="H299" i="47"/>
  <c r="I299" i="47"/>
  <c r="H291" i="47"/>
  <c r="I291" i="47"/>
  <c r="H283" i="47"/>
  <c r="I283" i="47"/>
  <c r="H275" i="47"/>
  <c r="I275" i="47"/>
  <c r="H267" i="47"/>
  <c r="I267" i="47"/>
  <c r="I259" i="47"/>
  <c r="H251" i="47"/>
  <c r="I251" i="47"/>
  <c r="H243" i="47"/>
  <c r="I243" i="47"/>
  <c r="H235" i="47"/>
  <c r="I235" i="47"/>
  <c r="H227" i="47"/>
  <c r="I227" i="47"/>
  <c r="H219" i="47"/>
  <c r="I219" i="47"/>
  <c r="H211" i="47"/>
  <c r="I211" i="47"/>
  <c r="H203" i="47"/>
  <c r="I203" i="47"/>
  <c r="H195" i="47"/>
  <c r="I195" i="47"/>
  <c r="H187" i="47"/>
  <c r="I187" i="47"/>
  <c r="H179" i="47"/>
  <c r="I179" i="47"/>
  <c r="H171" i="47"/>
  <c r="I171" i="47"/>
  <c r="H163" i="47"/>
  <c r="I163" i="47"/>
  <c r="H155" i="47"/>
  <c r="I155" i="47"/>
  <c r="H147" i="47"/>
  <c r="I147" i="47"/>
  <c r="H139" i="47"/>
  <c r="I139" i="47"/>
  <c r="H131" i="47"/>
  <c r="I131" i="47"/>
  <c r="H123" i="47"/>
  <c r="I123" i="47"/>
  <c r="H115" i="47"/>
  <c r="I115" i="47"/>
  <c r="I107" i="47"/>
  <c r="I99" i="47"/>
  <c r="I91" i="47"/>
  <c r="I83" i="47"/>
  <c r="H75" i="47"/>
  <c r="I75" i="47"/>
  <c r="H67" i="47"/>
  <c r="I67" i="47"/>
  <c r="H59" i="47"/>
  <c r="I59" i="47"/>
  <c r="H51" i="47"/>
  <c r="I51" i="47"/>
  <c r="H43" i="47"/>
  <c r="I43" i="47"/>
  <c r="H35" i="47"/>
  <c r="I35" i="47"/>
  <c r="H27" i="47"/>
  <c r="I27" i="47"/>
  <c r="H19" i="47"/>
  <c r="I19" i="47"/>
  <c r="H11" i="47"/>
  <c r="I11" i="47"/>
  <c r="C580" i="49"/>
  <c r="I579" i="47"/>
  <c r="C572" i="49"/>
  <c r="I571" i="47"/>
  <c r="I563" i="47"/>
  <c r="C540" i="49"/>
  <c r="I539" i="47"/>
  <c r="C475" i="49"/>
  <c r="H321" i="47"/>
  <c r="C626" i="49"/>
  <c r="C506" i="49"/>
  <c r="H352" i="47"/>
  <c r="H168" i="47"/>
  <c r="H48" i="47"/>
  <c r="H199" i="47"/>
  <c r="C687" i="49"/>
  <c r="H109" i="47"/>
  <c r="C718" i="49"/>
  <c r="C414" i="49"/>
  <c r="H260" i="47"/>
  <c r="H140" i="47"/>
  <c r="H746" i="47"/>
  <c r="C747" i="49"/>
  <c r="H738" i="47"/>
  <c r="C739" i="49"/>
  <c r="H730" i="47"/>
  <c r="C731" i="49"/>
  <c r="H722" i="47"/>
  <c r="C723" i="49"/>
  <c r="H714" i="47"/>
  <c r="C715" i="49"/>
  <c r="H706" i="47"/>
  <c r="C707" i="49"/>
  <c r="H698" i="47"/>
  <c r="C699" i="49"/>
  <c r="H690" i="47"/>
  <c r="C691" i="49"/>
  <c r="H682" i="47"/>
  <c r="C683" i="49"/>
  <c r="H674" i="47"/>
  <c r="C675" i="49"/>
  <c r="H666" i="47"/>
  <c r="C667" i="49"/>
  <c r="H658" i="47"/>
  <c r="C659" i="49"/>
  <c r="H650" i="47"/>
  <c r="C651" i="49"/>
  <c r="H642" i="47"/>
  <c r="C643" i="49"/>
  <c r="H634" i="47"/>
  <c r="C635" i="49"/>
  <c r="H626" i="47"/>
  <c r="C627" i="49"/>
  <c r="H618" i="47"/>
  <c r="C619" i="49"/>
  <c r="H610" i="47"/>
  <c r="C611" i="49"/>
  <c r="H602" i="47"/>
  <c r="C603" i="49"/>
  <c r="H594" i="47"/>
  <c r="C595" i="49"/>
  <c r="H586" i="47"/>
  <c r="C587" i="49"/>
  <c r="H578" i="47"/>
  <c r="C579" i="49"/>
  <c r="H570" i="47"/>
  <c r="C571" i="49"/>
  <c r="H562" i="47"/>
  <c r="C563" i="49"/>
  <c r="H554" i="47"/>
  <c r="C555" i="49"/>
  <c r="H546" i="47"/>
  <c r="C547" i="49"/>
  <c r="H522" i="47"/>
  <c r="C523" i="49"/>
  <c r="H514" i="47"/>
  <c r="C515" i="49"/>
  <c r="H498" i="47"/>
  <c r="C499" i="49"/>
  <c r="H490" i="47"/>
  <c r="C491" i="49"/>
  <c r="H458" i="47"/>
  <c r="C459" i="49"/>
  <c r="H450" i="47"/>
  <c r="C451" i="49"/>
  <c r="H442" i="47"/>
  <c r="C443" i="49"/>
  <c r="H434" i="47"/>
  <c r="C435" i="49"/>
  <c r="H426" i="47"/>
  <c r="C427" i="49"/>
  <c r="H418" i="47"/>
  <c r="C419" i="49"/>
  <c r="H410" i="47"/>
  <c r="C411" i="49"/>
  <c r="H402" i="47"/>
  <c r="C403" i="49"/>
  <c r="H745" i="47"/>
  <c r="C746" i="49"/>
  <c r="H737" i="47"/>
  <c r="C738" i="49"/>
  <c r="H729" i="47"/>
  <c r="C730" i="49"/>
  <c r="H721" i="47"/>
  <c r="C722" i="49"/>
  <c r="H713" i="47"/>
  <c r="C714" i="49"/>
  <c r="H705" i="47"/>
  <c r="C706" i="49"/>
  <c r="H697" i="47"/>
  <c r="C698" i="49"/>
  <c r="H689" i="47"/>
  <c r="C690" i="49"/>
  <c r="H681" i="47"/>
  <c r="C682" i="49"/>
  <c r="H673" i="47"/>
  <c r="C674" i="49"/>
  <c r="H665" i="47"/>
  <c r="C666" i="49"/>
  <c r="H657" i="47"/>
  <c r="C658" i="49"/>
  <c r="H649" i="47"/>
  <c r="C650" i="49"/>
  <c r="H641" i="47"/>
  <c r="C642" i="49"/>
  <c r="H633" i="47"/>
  <c r="C634" i="49"/>
  <c r="H617" i="47"/>
  <c r="C618" i="49"/>
  <c r="H609" i="47"/>
  <c r="C610" i="49"/>
  <c r="H601" i="47"/>
  <c r="C602" i="49"/>
  <c r="H593" i="47"/>
  <c r="C594" i="49"/>
  <c r="H585" i="47"/>
  <c r="C586" i="49"/>
  <c r="H553" i="47"/>
  <c r="C554" i="49"/>
  <c r="H545" i="47"/>
  <c r="C546" i="49"/>
  <c r="H537" i="47"/>
  <c r="C538" i="49"/>
  <c r="H529" i="47"/>
  <c r="C530" i="49"/>
  <c r="H513" i="47"/>
  <c r="C514" i="49"/>
  <c r="H497" i="47"/>
  <c r="C498" i="49"/>
  <c r="H489" i="47"/>
  <c r="C490" i="49"/>
  <c r="H481" i="47"/>
  <c r="C482" i="49"/>
  <c r="H473" i="47"/>
  <c r="C474" i="49"/>
  <c r="H465" i="47"/>
  <c r="C466" i="49"/>
  <c r="H457" i="47"/>
  <c r="C458" i="49"/>
  <c r="H449" i="47"/>
  <c r="C450" i="49"/>
  <c r="H441" i="47"/>
  <c r="C442" i="49"/>
  <c r="H433" i="47"/>
  <c r="C434" i="49"/>
  <c r="H425" i="47"/>
  <c r="C426" i="49"/>
  <c r="H417" i="47"/>
  <c r="C418" i="49"/>
  <c r="H409" i="47"/>
  <c r="C410" i="49"/>
  <c r="H401" i="47"/>
  <c r="C402" i="49"/>
  <c r="H320" i="47"/>
  <c r="H744" i="47"/>
  <c r="C745" i="49"/>
  <c r="H736" i="47"/>
  <c r="C737" i="49"/>
  <c r="H728" i="47"/>
  <c r="C729" i="49"/>
  <c r="H720" i="47"/>
  <c r="C721" i="49"/>
  <c r="H712" i="47"/>
  <c r="C713" i="49"/>
  <c r="H704" i="47"/>
  <c r="C705" i="49"/>
  <c r="H696" i="47"/>
  <c r="C697" i="49"/>
  <c r="H688" i="47"/>
  <c r="C689" i="49"/>
  <c r="H680" i="47"/>
  <c r="C681" i="49"/>
  <c r="H672" i="47"/>
  <c r="C673" i="49"/>
  <c r="H664" i="47"/>
  <c r="C665" i="49"/>
  <c r="H648" i="47"/>
  <c r="C649" i="49"/>
  <c r="H640" i="47"/>
  <c r="C641" i="49"/>
  <c r="H632" i="47"/>
  <c r="C633" i="49"/>
  <c r="H624" i="47"/>
  <c r="C625" i="49"/>
  <c r="H616" i="47"/>
  <c r="C617" i="49"/>
  <c r="H608" i="47"/>
  <c r="C609" i="49"/>
  <c r="H600" i="47"/>
  <c r="C601" i="49"/>
  <c r="H592" i="47"/>
  <c r="C593" i="49"/>
  <c r="H584" i="47"/>
  <c r="C585" i="49"/>
  <c r="H576" i="47"/>
  <c r="C577" i="49"/>
  <c r="H568" i="47"/>
  <c r="C569" i="49"/>
  <c r="H560" i="47"/>
  <c r="C561" i="49"/>
  <c r="H552" i="47"/>
  <c r="C553" i="49"/>
  <c r="H544" i="47"/>
  <c r="C545" i="49"/>
  <c r="H528" i="47"/>
  <c r="C529" i="49"/>
  <c r="H512" i="47"/>
  <c r="C513" i="49"/>
  <c r="H504" i="47"/>
  <c r="C505" i="49"/>
  <c r="H496" i="47"/>
  <c r="C497" i="49"/>
  <c r="H480" i="47"/>
  <c r="C481" i="49"/>
  <c r="H472" i="47"/>
  <c r="C473" i="49"/>
  <c r="H464" i="47"/>
  <c r="C465" i="49"/>
  <c r="H456" i="47"/>
  <c r="C457" i="49"/>
  <c r="H448" i="47"/>
  <c r="C449" i="49"/>
  <c r="H440" i="47"/>
  <c r="C441" i="49"/>
  <c r="H432" i="47"/>
  <c r="C433" i="49"/>
  <c r="H424" i="47"/>
  <c r="C425" i="49"/>
  <c r="H416" i="47"/>
  <c r="C417" i="49"/>
  <c r="H400" i="47"/>
  <c r="C401" i="49"/>
  <c r="H47" i="47"/>
  <c r="H743" i="47"/>
  <c r="C744" i="49"/>
  <c r="H735" i="47"/>
  <c r="C736" i="49"/>
  <c r="H727" i="47"/>
  <c r="C728" i="49"/>
  <c r="H719" i="47"/>
  <c r="C720" i="49"/>
  <c r="H711" i="47"/>
  <c r="C712" i="49"/>
  <c r="H703" i="47"/>
  <c r="C704" i="49"/>
  <c r="H695" i="47"/>
  <c r="C696" i="49"/>
  <c r="H687" i="47"/>
  <c r="C688" i="49"/>
  <c r="H679" i="47"/>
  <c r="C680" i="49"/>
  <c r="H671" i="47"/>
  <c r="C672" i="49"/>
  <c r="H663" i="47"/>
  <c r="C664" i="49"/>
  <c r="H655" i="47"/>
  <c r="C656" i="49"/>
  <c r="H647" i="47"/>
  <c r="C648" i="49"/>
  <c r="H639" i="47"/>
  <c r="C640" i="49"/>
  <c r="H631" i="47"/>
  <c r="C632" i="49"/>
  <c r="H623" i="47"/>
  <c r="C624" i="49"/>
  <c r="H615" i="47"/>
  <c r="C616" i="49"/>
  <c r="H607" i="47"/>
  <c r="C608" i="49"/>
  <c r="H599" i="47"/>
  <c r="C600" i="49"/>
  <c r="H591" i="47"/>
  <c r="C592" i="49"/>
  <c r="H583" i="47"/>
  <c r="C584" i="49"/>
  <c r="H543" i="47"/>
  <c r="C544" i="49"/>
  <c r="H527" i="47"/>
  <c r="C528" i="49"/>
  <c r="H519" i="47"/>
  <c r="C520" i="49"/>
  <c r="H511" i="47"/>
  <c r="C512" i="49"/>
  <c r="H503" i="47"/>
  <c r="C504" i="49"/>
  <c r="H487" i="47"/>
  <c r="C488" i="49"/>
  <c r="H471" i="47"/>
  <c r="C472" i="49"/>
  <c r="H463" i="47"/>
  <c r="C464" i="49"/>
  <c r="H455" i="47"/>
  <c r="C456" i="49"/>
  <c r="H447" i="47"/>
  <c r="C448" i="49"/>
  <c r="H439" i="47"/>
  <c r="C440" i="49"/>
  <c r="H431" i="47"/>
  <c r="C432" i="49"/>
  <c r="H423" i="47"/>
  <c r="C424" i="49"/>
  <c r="H415" i="47"/>
  <c r="C416" i="49"/>
  <c r="H407" i="47"/>
  <c r="C408" i="49"/>
  <c r="H399" i="47"/>
  <c r="C400" i="49"/>
  <c r="H198" i="47"/>
  <c r="H78" i="47"/>
  <c r="H742" i="47"/>
  <c r="C743" i="49"/>
  <c r="H734" i="47"/>
  <c r="C735" i="49"/>
  <c r="H726" i="47"/>
  <c r="C727" i="49"/>
  <c r="H718" i="47"/>
  <c r="C719" i="49"/>
  <c r="H710" i="47"/>
  <c r="C711" i="49"/>
  <c r="H702" i="47"/>
  <c r="C703" i="49"/>
  <c r="H694" i="47"/>
  <c r="C695" i="49"/>
  <c r="H678" i="47"/>
  <c r="C679" i="49"/>
  <c r="H670" i="47"/>
  <c r="C671" i="49"/>
  <c r="H662" i="47"/>
  <c r="C663" i="49"/>
  <c r="H654" i="47"/>
  <c r="C655" i="49"/>
  <c r="H646" i="47"/>
  <c r="C647" i="49"/>
  <c r="H638" i="47"/>
  <c r="C639" i="49"/>
  <c r="H630" i="47"/>
  <c r="C631" i="49"/>
  <c r="H622" i="47"/>
  <c r="C623" i="49"/>
  <c r="H614" i="47"/>
  <c r="C615" i="49"/>
  <c r="H606" i="47"/>
  <c r="C607" i="49"/>
  <c r="H598" i="47"/>
  <c r="C599" i="49"/>
  <c r="H590" i="47"/>
  <c r="C591" i="49"/>
  <c r="H582" i="47"/>
  <c r="C583" i="49"/>
  <c r="H574" i="47"/>
  <c r="C575" i="49"/>
  <c r="H558" i="47"/>
  <c r="C559" i="49"/>
  <c r="H550" i="47"/>
  <c r="C551" i="49"/>
  <c r="H542" i="47"/>
  <c r="C543" i="49"/>
  <c r="H518" i="47"/>
  <c r="C519" i="49"/>
  <c r="H510" i="47"/>
  <c r="C511" i="49"/>
  <c r="H502" i="47"/>
  <c r="C503" i="49"/>
  <c r="H494" i="47"/>
  <c r="C495" i="49"/>
  <c r="H486" i="47"/>
  <c r="C487" i="49"/>
  <c r="H478" i="47"/>
  <c r="C479" i="49"/>
  <c r="H470" i="47"/>
  <c r="C471" i="49"/>
  <c r="H446" i="47"/>
  <c r="C447" i="49"/>
  <c r="H438" i="47"/>
  <c r="C439" i="49"/>
  <c r="H430" i="47"/>
  <c r="C431" i="49"/>
  <c r="H422" i="47"/>
  <c r="C423" i="49"/>
  <c r="H414" i="47"/>
  <c r="C415" i="49"/>
  <c r="H406" i="47"/>
  <c r="C407" i="49"/>
  <c r="H741" i="47"/>
  <c r="C742" i="49"/>
  <c r="H733" i="47"/>
  <c r="C734" i="49"/>
  <c r="H725" i="47"/>
  <c r="C726" i="49"/>
  <c r="H709" i="47"/>
  <c r="C710" i="49"/>
  <c r="H701" i="47"/>
  <c r="C702" i="49"/>
  <c r="H693" i="47"/>
  <c r="C694" i="49"/>
  <c r="H685" i="47"/>
  <c r="C686" i="49"/>
  <c r="H677" i="47"/>
  <c r="C678" i="49"/>
  <c r="H669" i="47"/>
  <c r="C670" i="49"/>
  <c r="H661" i="47"/>
  <c r="C662" i="49"/>
  <c r="H653" i="47"/>
  <c r="C654" i="49"/>
  <c r="H645" i="47"/>
  <c r="C646" i="49"/>
  <c r="H637" i="47"/>
  <c r="C638" i="49"/>
  <c r="H629" i="47"/>
  <c r="C630" i="49"/>
  <c r="H621" i="47"/>
  <c r="C622" i="49"/>
  <c r="H613" i="47"/>
  <c r="C614" i="49"/>
  <c r="H605" i="47"/>
  <c r="C606" i="49"/>
  <c r="H589" i="47"/>
  <c r="C590" i="49"/>
  <c r="H581" i="47"/>
  <c r="C582" i="49"/>
  <c r="H573" i="47"/>
  <c r="C574" i="49"/>
  <c r="H565" i="47"/>
  <c r="C566" i="49"/>
  <c r="H557" i="47"/>
  <c r="C558" i="49"/>
  <c r="H549" i="47"/>
  <c r="C550" i="49"/>
  <c r="H541" i="47"/>
  <c r="C542" i="49"/>
  <c r="H533" i="47"/>
  <c r="C534" i="49"/>
  <c r="H525" i="47"/>
  <c r="C526" i="49"/>
  <c r="H517" i="47"/>
  <c r="C518" i="49"/>
  <c r="H509" i="47"/>
  <c r="C510" i="49"/>
  <c r="H501" i="47"/>
  <c r="C502" i="49"/>
  <c r="H493" i="47"/>
  <c r="C494" i="49"/>
  <c r="H485" i="47"/>
  <c r="C486" i="49"/>
  <c r="H477" i="47"/>
  <c r="C478" i="49"/>
  <c r="H469" i="47"/>
  <c r="C470" i="49"/>
  <c r="H461" i="47"/>
  <c r="C462" i="49"/>
  <c r="H453" i="47"/>
  <c r="C454" i="49"/>
  <c r="H445" i="47"/>
  <c r="C446" i="49"/>
  <c r="H437" i="47"/>
  <c r="C438" i="49"/>
  <c r="H429" i="47"/>
  <c r="C430" i="49"/>
  <c r="H421" i="47"/>
  <c r="C422" i="49"/>
  <c r="H405" i="47"/>
  <c r="C406" i="49"/>
  <c r="H740" i="47"/>
  <c r="C741" i="49"/>
  <c r="H732" i="47"/>
  <c r="C733" i="49"/>
  <c r="H724" i="47"/>
  <c r="C725" i="49"/>
  <c r="H716" i="47"/>
  <c r="C717" i="49"/>
  <c r="H708" i="47"/>
  <c r="C709" i="49"/>
  <c r="H700" i="47"/>
  <c r="C701" i="49"/>
  <c r="H692" i="47"/>
  <c r="C693" i="49"/>
  <c r="H684" i="47"/>
  <c r="C685" i="49"/>
  <c r="H676" i="47"/>
  <c r="C677" i="49"/>
  <c r="H668" i="47"/>
  <c r="C669" i="49"/>
  <c r="H660" i="47"/>
  <c r="C661" i="49"/>
  <c r="H652" i="47"/>
  <c r="C653" i="49"/>
  <c r="H644" i="47"/>
  <c r="C645" i="49"/>
  <c r="H636" i="47"/>
  <c r="C637" i="49"/>
  <c r="H628" i="47"/>
  <c r="C629" i="49"/>
  <c r="H620" i="47"/>
  <c r="C621" i="49"/>
  <c r="H612" i="47"/>
  <c r="C613" i="49"/>
  <c r="H604" i="47"/>
  <c r="C605" i="49"/>
  <c r="H596" i="47"/>
  <c r="C597" i="49"/>
  <c r="H588" i="47"/>
  <c r="C589" i="49"/>
  <c r="H580" i="47"/>
  <c r="C581" i="49"/>
  <c r="H572" i="47"/>
  <c r="C573" i="49"/>
  <c r="H564" i="47"/>
  <c r="C565" i="49"/>
  <c r="H556" i="47"/>
  <c r="C557" i="49"/>
  <c r="H548" i="47"/>
  <c r="C549" i="49"/>
  <c r="H540" i="47"/>
  <c r="C541" i="49"/>
  <c r="H532" i="47"/>
  <c r="C533" i="49"/>
  <c r="H524" i="47"/>
  <c r="C525" i="49"/>
  <c r="H516" i="47"/>
  <c r="C517" i="49"/>
  <c r="H508" i="47"/>
  <c r="C509" i="49"/>
  <c r="H500" i="47"/>
  <c r="C501" i="49"/>
  <c r="H492" i="47"/>
  <c r="C493" i="49"/>
  <c r="H484" i="47"/>
  <c r="C485" i="49"/>
  <c r="H476" i="47"/>
  <c r="C477" i="49"/>
  <c r="H468" i="47"/>
  <c r="C469" i="49"/>
  <c r="H460" i="47"/>
  <c r="C461" i="49"/>
  <c r="H452" i="47"/>
  <c r="C453" i="49"/>
  <c r="H436" i="47"/>
  <c r="C437" i="49"/>
  <c r="H428" i="47"/>
  <c r="C429" i="49"/>
  <c r="H420" i="47"/>
  <c r="C421" i="49"/>
  <c r="H412" i="47"/>
  <c r="C413" i="49"/>
  <c r="H404" i="47"/>
  <c r="C405" i="49"/>
  <c r="H259" i="47"/>
  <c r="H398" i="47"/>
  <c r="C399" i="49"/>
  <c r="H747" i="47"/>
  <c r="C748" i="49"/>
  <c r="H739" i="47"/>
  <c r="C740" i="49"/>
  <c r="H731" i="47"/>
  <c r="C732" i="49"/>
  <c r="H723" i="47"/>
  <c r="C724" i="49"/>
  <c r="H715" i="47"/>
  <c r="C716" i="49"/>
  <c r="H707" i="47"/>
  <c r="C708" i="49"/>
  <c r="H699" i="47"/>
  <c r="C700" i="49"/>
  <c r="H691" i="47"/>
  <c r="C692" i="49"/>
  <c r="H683" i="47"/>
  <c r="C684" i="49"/>
  <c r="H675" i="47"/>
  <c r="C676" i="49"/>
  <c r="H667" i="47"/>
  <c r="C668" i="49"/>
  <c r="H659" i="47"/>
  <c r="C660" i="49"/>
  <c r="H651" i="47"/>
  <c r="C652" i="49"/>
  <c r="H643" i="47"/>
  <c r="C644" i="49"/>
  <c r="H635" i="47"/>
  <c r="C636" i="49"/>
  <c r="H627" i="47"/>
  <c r="C628" i="49"/>
  <c r="H619" i="47"/>
  <c r="C620" i="49"/>
  <c r="H611" i="47"/>
  <c r="C612" i="49"/>
  <c r="H603" i="47"/>
  <c r="C604" i="49"/>
  <c r="H595" i="47"/>
  <c r="C596" i="49"/>
  <c r="H587" i="47"/>
  <c r="C588" i="49"/>
  <c r="H563" i="47"/>
  <c r="C564" i="49"/>
  <c r="H555" i="47"/>
  <c r="C556" i="49"/>
  <c r="H547" i="47"/>
  <c r="C548" i="49"/>
  <c r="H531" i="47"/>
  <c r="C532" i="49"/>
  <c r="H523" i="47"/>
  <c r="C524" i="49"/>
  <c r="H515" i="47"/>
  <c r="C516" i="49"/>
  <c r="H507" i="47"/>
  <c r="C508" i="49"/>
  <c r="H499" i="47"/>
  <c r="C500" i="49"/>
  <c r="H491" i="47"/>
  <c r="C492" i="49"/>
  <c r="H483" i="47"/>
  <c r="C484" i="49"/>
  <c r="H475" i="47"/>
  <c r="C476" i="49"/>
  <c r="H467" i="47"/>
  <c r="C468" i="49"/>
  <c r="H459" i="47"/>
  <c r="C460" i="49"/>
  <c r="H451" i="47"/>
  <c r="C452" i="49"/>
  <c r="H443" i="47"/>
  <c r="C444" i="49"/>
  <c r="H435" i="47"/>
  <c r="C436" i="49"/>
  <c r="H427" i="47"/>
  <c r="C428" i="49"/>
  <c r="H419" i="47"/>
  <c r="C420" i="49"/>
  <c r="H411" i="47"/>
  <c r="C412" i="49"/>
  <c r="H403" i="47"/>
  <c r="C404" i="49"/>
  <c r="H762" i="47"/>
  <c r="I762" i="47"/>
  <c r="H754" i="47"/>
  <c r="I754" i="47"/>
  <c r="H761" i="47"/>
  <c r="I761" i="47"/>
  <c r="H753" i="47"/>
  <c r="I753" i="47"/>
  <c r="H760" i="47"/>
  <c r="I760" i="47"/>
  <c r="H752" i="47"/>
  <c r="I752" i="47"/>
  <c r="H759" i="47"/>
  <c r="I759" i="47"/>
  <c r="H751" i="47"/>
  <c r="I751" i="47"/>
  <c r="I758" i="47"/>
  <c r="H758" i="47"/>
  <c r="H750" i="47"/>
  <c r="I750" i="47"/>
  <c r="H757" i="47"/>
  <c r="I757" i="47"/>
  <c r="H749" i="47"/>
  <c r="I749" i="47"/>
  <c r="H756" i="47"/>
  <c r="I756" i="47"/>
  <c r="H748" i="47"/>
  <c r="I748" i="47"/>
  <c r="H763" i="47"/>
  <c r="I763" i="47"/>
  <c r="H755" i="47"/>
  <c r="I755" i="47"/>
  <c r="F538" i="47"/>
  <c r="H538" i="47"/>
  <c r="E531" i="49"/>
  <c r="H530" i="47"/>
  <c r="E507" i="49"/>
  <c r="H506" i="47"/>
  <c r="F482" i="47"/>
  <c r="H482" i="47"/>
  <c r="H474" i="47"/>
  <c r="F467" i="49"/>
  <c r="H466" i="47"/>
  <c r="H625" i="47"/>
  <c r="E578" i="49"/>
  <c r="H577" i="47"/>
  <c r="E570" i="49"/>
  <c r="H569" i="47"/>
  <c r="F562" i="49"/>
  <c r="H561" i="47"/>
  <c r="F522" i="49"/>
  <c r="H521" i="47"/>
  <c r="H505" i="47"/>
  <c r="H656" i="47"/>
  <c r="F537" i="49"/>
  <c r="H536" i="47"/>
  <c r="E521" i="49"/>
  <c r="H520" i="47"/>
  <c r="E489" i="49"/>
  <c r="H488" i="47"/>
  <c r="E409" i="49"/>
  <c r="H408" i="47"/>
  <c r="E576" i="49"/>
  <c r="H575" i="47"/>
  <c r="F568" i="49"/>
  <c r="H567" i="47"/>
  <c r="E560" i="49"/>
  <c r="H559" i="47"/>
  <c r="F552" i="49"/>
  <c r="H551" i="47"/>
  <c r="H535" i="47"/>
  <c r="E496" i="49"/>
  <c r="H495" i="47"/>
  <c r="E480" i="49"/>
  <c r="H479" i="47"/>
  <c r="H686" i="47"/>
  <c r="H566" i="47"/>
  <c r="F535" i="49"/>
  <c r="H534" i="47"/>
  <c r="F526" i="47"/>
  <c r="H526" i="47"/>
  <c r="H462" i="47"/>
  <c r="E455" i="49"/>
  <c r="H454" i="47"/>
  <c r="H717" i="47"/>
  <c r="H597" i="47"/>
  <c r="H413" i="47"/>
  <c r="H444" i="47"/>
  <c r="E580" i="49"/>
  <c r="H579" i="47"/>
  <c r="E572" i="49"/>
  <c r="H571" i="47"/>
  <c r="F540" i="49"/>
  <c r="H539" i="47"/>
  <c r="E505" i="49"/>
  <c r="F17" i="47"/>
  <c r="F50" i="47"/>
  <c r="F49" i="47"/>
  <c r="F46" i="47"/>
  <c r="F763" i="47"/>
  <c r="E763" i="49"/>
  <c r="F763" i="49"/>
  <c r="F762" i="47"/>
  <c r="F761" i="47"/>
  <c r="E762" i="49"/>
  <c r="F762" i="49"/>
  <c r="E761" i="49"/>
  <c r="F761" i="49"/>
  <c r="F760" i="47"/>
  <c r="F759" i="47"/>
  <c r="E760" i="49"/>
  <c r="F760" i="49"/>
  <c r="E759" i="49"/>
  <c r="F759" i="49"/>
  <c r="F758" i="47"/>
  <c r="F757" i="47"/>
  <c r="E758" i="49"/>
  <c r="F758" i="49"/>
  <c r="E757" i="49"/>
  <c r="F757" i="49"/>
  <c r="F756" i="47"/>
  <c r="F755" i="47"/>
  <c r="E756" i="49"/>
  <c r="F756" i="49"/>
  <c r="E755" i="49"/>
  <c r="F755" i="49"/>
  <c r="F754" i="47"/>
  <c r="F753" i="47"/>
  <c r="E754" i="49"/>
  <c r="F754" i="49"/>
  <c r="E753" i="49"/>
  <c r="F753" i="49"/>
  <c r="F752" i="47"/>
  <c r="F751" i="47"/>
  <c r="E752" i="49"/>
  <c r="F752" i="49"/>
  <c r="E751" i="49"/>
  <c r="F751" i="49"/>
  <c r="F750" i="47"/>
  <c r="F749" i="47"/>
  <c r="E750" i="49"/>
  <c r="F750" i="49"/>
  <c r="E749" i="49"/>
  <c r="F749" i="49"/>
  <c r="F747" i="47"/>
  <c r="E748" i="49"/>
  <c r="E747" i="49"/>
  <c r="F747" i="49"/>
  <c r="F746" i="47"/>
  <c r="F745" i="47"/>
  <c r="E746" i="49"/>
  <c r="F746" i="49"/>
  <c r="E745" i="49"/>
  <c r="F745" i="49"/>
  <c r="F744" i="47"/>
  <c r="F743" i="47"/>
  <c r="E744" i="49"/>
  <c r="F744" i="49"/>
  <c r="E743" i="49"/>
  <c r="F743" i="49"/>
  <c r="F742" i="47"/>
  <c r="F741" i="47"/>
  <c r="E742" i="49"/>
  <c r="F742" i="49"/>
  <c r="E741" i="49"/>
  <c r="F741" i="49"/>
  <c r="F740" i="47"/>
  <c r="F739" i="47"/>
  <c r="E740" i="49"/>
  <c r="F740" i="49"/>
  <c r="E739" i="49"/>
  <c r="F739" i="49"/>
  <c r="F738" i="47"/>
  <c r="F737" i="47"/>
  <c r="E738" i="49"/>
  <c r="F738" i="49"/>
  <c r="E737" i="49"/>
  <c r="F737" i="49"/>
  <c r="F736" i="47"/>
  <c r="F735" i="47"/>
  <c r="E736" i="49"/>
  <c r="F736" i="49"/>
  <c r="E735" i="49"/>
  <c r="F735" i="49"/>
  <c r="F734" i="47"/>
  <c r="F733" i="47"/>
  <c r="E734" i="49"/>
  <c r="F734" i="49"/>
  <c r="E733" i="49"/>
  <c r="F733" i="49"/>
  <c r="F732" i="47"/>
  <c r="F731" i="47"/>
  <c r="E732" i="49"/>
  <c r="F732" i="49"/>
  <c r="E731" i="49"/>
  <c r="F731" i="49"/>
  <c r="F730" i="47"/>
  <c r="F729" i="47"/>
  <c r="E730" i="49"/>
  <c r="F730" i="49"/>
  <c r="E729" i="49"/>
  <c r="F729" i="49"/>
  <c r="F728" i="47"/>
  <c r="F727" i="47"/>
  <c r="E728" i="49"/>
  <c r="F728" i="49"/>
  <c r="E727" i="49"/>
  <c r="F727" i="49"/>
  <c r="F726" i="47"/>
  <c r="F725" i="47"/>
  <c r="E726" i="49"/>
  <c r="F726" i="49"/>
  <c r="E725" i="49"/>
  <c r="F725" i="49"/>
  <c r="F724" i="47"/>
  <c r="F723" i="47"/>
  <c r="E724" i="49"/>
  <c r="F724" i="49"/>
  <c r="E723" i="49"/>
  <c r="F723" i="49"/>
  <c r="F722" i="47"/>
  <c r="F721" i="47"/>
  <c r="E722" i="49"/>
  <c r="F722" i="49"/>
  <c r="E721" i="49"/>
  <c r="F721" i="49"/>
  <c r="E720" i="49"/>
  <c r="F720" i="49"/>
  <c r="E719" i="49"/>
  <c r="F719" i="49"/>
  <c r="F718" i="47"/>
  <c r="F718" i="49"/>
  <c r="E718" i="49"/>
  <c r="E717" i="49"/>
  <c r="F716" i="47"/>
  <c r="F716" i="49"/>
  <c r="F715" i="47"/>
  <c r="E716" i="49"/>
  <c r="E715" i="49"/>
  <c r="F715" i="49"/>
  <c r="F714" i="47"/>
  <c r="F714" i="49"/>
  <c r="F713" i="47"/>
  <c r="E714" i="49"/>
  <c r="E713" i="49"/>
  <c r="F713" i="49"/>
  <c r="F712" i="47"/>
  <c r="F712" i="49"/>
  <c r="F711" i="47"/>
  <c r="E712" i="49"/>
  <c r="E711" i="49"/>
  <c r="F711" i="49"/>
  <c r="F710" i="47"/>
  <c r="F710" i="49"/>
  <c r="F709" i="47"/>
  <c r="E710" i="49"/>
  <c r="E709" i="49"/>
  <c r="F709" i="49"/>
  <c r="F708" i="47"/>
  <c r="F708" i="49"/>
  <c r="F707" i="47"/>
  <c r="E708" i="49"/>
  <c r="E707" i="49"/>
  <c r="F707" i="49"/>
  <c r="F706" i="47"/>
  <c r="F706" i="49"/>
  <c r="F705" i="47"/>
  <c r="E706" i="49"/>
  <c r="E705" i="49"/>
  <c r="F705" i="49"/>
  <c r="F704" i="47"/>
  <c r="F704" i="49"/>
  <c r="F703" i="47"/>
  <c r="E704" i="49"/>
  <c r="E703" i="49"/>
  <c r="F703" i="49"/>
  <c r="F702" i="47"/>
  <c r="F702" i="49"/>
  <c r="F701" i="47"/>
  <c r="E702" i="49"/>
  <c r="E701" i="49"/>
  <c r="F701" i="49"/>
  <c r="F700" i="47"/>
  <c r="F700" i="49"/>
  <c r="F699" i="47"/>
  <c r="E700" i="49"/>
  <c r="E699" i="49"/>
  <c r="F699" i="49"/>
  <c r="F698" i="47"/>
  <c r="F698" i="49"/>
  <c r="F697" i="47"/>
  <c r="E698" i="49"/>
  <c r="E697" i="49"/>
  <c r="F697" i="49"/>
  <c r="F696" i="47"/>
  <c r="F696" i="49"/>
  <c r="F695" i="47"/>
  <c r="E696" i="49"/>
  <c r="E695" i="49"/>
  <c r="F695" i="49"/>
  <c r="F694" i="47"/>
  <c r="F694" i="49"/>
  <c r="F693" i="47"/>
  <c r="E694" i="49"/>
  <c r="E693" i="49"/>
  <c r="F693" i="49"/>
  <c r="F692" i="47"/>
  <c r="F692" i="49"/>
  <c r="F691" i="47"/>
  <c r="E692" i="49"/>
  <c r="E691" i="49"/>
  <c r="F691" i="49"/>
  <c r="F690" i="47"/>
  <c r="F690" i="49"/>
  <c r="E690" i="49"/>
  <c r="E689" i="49"/>
  <c r="F689" i="49"/>
  <c r="F688" i="49"/>
  <c r="F687" i="47"/>
  <c r="E688" i="49"/>
  <c r="E687" i="49"/>
  <c r="F687" i="49"/>
  <c r="E686" i="49"/>
  <c r="F686" i="49"/>
  <c r="F685" i="47"/>
  <c r="E685" i="49"/>
  <c r="F685" i="49"/>
  <c r="F684" i="47"/>
  <c r="E684" i="49"/>
  <c r="F684" i="49"/>
  <c r="F683" i="47"/>
  <c r="E683" i="49"/>
  <c r="F683" i="49"/>
  <c r="F682" i="47"/>
  <c r="E682" i="49"/>
  <c r="F682" i="49"/>
  <c r="F681" i="47"/>
  <c r="E681" i="49"/>
  <c r="F681" i="49"/>
  <c r="F680" i="47"/>
  <c r="E680" i="49"/>
  <c r="F680" i="49"/>
  <c r="F679" i="47"/>
  <c r="E679" i="49"/>
  <c r="F679" i="49"/>
  <c r="F678" i="47"/>
  <c r="E678" i="49"/>
  <c r="F678" i="49"/>
  <c r="F677" i="47"/>
  <c r="E677" i="49"/>
  <c r="F677" i="49"/>
  <c r="F676" i="47"/>
  <c r="E676" i="49"/>
  <c r="F676" i="49"/>
  <c r="F675" i="47"/>
  <c r="E675" i="49"/>
  <c r="F675" i="49"/>
  <c r="F674" i="47"/>
  <c r="E674" i="49"/>
  <c r="F674" i="49"/>
  <c r="F673" i="47"/>
  <c r="E673" i="49"/>
  <c r="F673" i="49"/>
  <c r="F672" i="47"/>
  <c r="E672" i="49"/>
  <c r="F672" i="49"/>
  <c r="F671" i="47"/>
  <c r="E671" i="49"/>
  <c r="F671" i="49"/>
  <c r="F670" i="47"/>
  <c r="E670" i="49"/>
  <c r="F670" i="49"/>
  <c r="F669" i="47"/>
  <c r="E669" i="49"/>
  <c r="F669" i="49"/>
  <c r="F668" i="47"/>
  <c r="E668" i="49"/>
  <c r="F668" i="49"/>
  <c r="F667" i="47"/>
  <c r="E667" i="49"/>
  <c r="F667" i="49"/>
  <c r="F666" i="47"/>
  <c r="E666" i="49"/>
  <c r="F666" i="49"/>
  <c r="F665" i="47"/>
  <c r="E665" i="49"/>
  <c r="F665" i="49"/>
  <c r="F664" i="47"/>
  <c r="E664" i="49"/>
  <c r="F664" i="49"/>
  <c r="F663" i="47"/>
  <c r="E663" i="49"/>
  <c r="F663" i="49"/>
  <c r="F662" i="47"/>
  <c r="E662" i="49"/>
  <c r="F662" i="49"/>
  <c r="F661" i="47"/>
  <c r="E661" i="49"/>
  <c r="F661" i="49"/>
  <c r="F660" i="47"/>
  <c r="E660" i="49"/>
  <c r="F660" i="49"/>
  <c r="F659" i="47"/>
  <c r="E659" i="49"/>
  <c r="F659" i="49"/>
  <c r="E658" i="49"/>
  <c r="F658" i="49"/>
  <c r="F656" i="47"/>
  <c r="E657" i="49"/>
  <c r="F657" i="49"/>
  <c r="E656" i="49"/>
  <c r="F655" i="47"/>
  <c r="F654" i="47"/>
  <c r="E655" i="49"/>
  <c r="F655" i="49"/>
  <c r="E654" i="49"/>
  <c r="F654" i="49"/>
  <c r="F653" i="47"/>
  <c r="F653" i="49"/>
  <c r="F652" i="47"/>
  <c r="E653" i="49"/>
  <c r="E652" i="49"/>
  <c r="F651" i="47"/>
  <c r="F652" i="49"/>
  <c r="F651" i="49"/>
  <c r="F650" i="47"/>
  <c r="E651" i="49"/>
  <c r="E650" i="49"/>
  <c r="F649" i="47"/>
  <c r="F650" i="49"/>
  <c r="F649" i="49"/>
  <c r="F648" i="47"/>
  <c r="E649" i="49"/>
  <c r="E648" i="49"/>
  <c r="F647" i="47"/>
  <c r="F648" i="49"/>
  <c r="F647" i="49"/>
  <c r="F646" i="47"/>
  <c r="E647" i="49"/>
  <c r="E646" i="49"/>
  <c r="F645" i="47"/>
  <c r="F646" i="49"/>
  <c r="F645" i="49"/>
  <c r="F644" i="47"/>
  <c r="E645" i="49"/>
  <c r="E644" i="49"/>
  <c r="F643" i="47"/>
  <c r="F644" i="49"/>
  <c r="F643" i="49"/>
  <c r="F642" i="47"/>
  <c r="E643" i="49"/>
  <c r="E642" i="49"/>
  <c r="F641" i="47"/>
  <c r="F642" i="49"/>
  <c r="F641" i="49"/>
  <c r="F640" i="47"/>
  <c r="E641" i="49"/>
  <c r="E640" i="49"/>
  <c r="F639" i="47"/>
  <c r="F640" i="49"/>
  <c r="F639" i="49"/>
  <c r="F638" i="47"/>
  <c r="E639" i="49"/>
  <c r="E638" i="49"/>
  <c r="F637" i="47"/>
  <c r="F638" i="49"/>
  <c r="F637" i="49"/>
  <c r="F636" i="47"/>
  <c r="E637" i="49"/>
  <c r="E636" i="49"/>
  <c r="F635" i="47"/>
  <c r="F636" i="49"/>
  <c r="F635" i="49"/>
  <c r="F634" i="47"/>
  <c r="E635" i="49"/>
  <c r="E634" i="49"/>
  <c r="F634" i="49"/>
  <c r="F633" i="47"/>
  <c r="F633" i="49"/>
  <c r="F632" i="47"/>
  <c r="E633" i="49"/>
  <c r="E632" i="49"/>
  <c r="F632" i="49"/>
  <c r="F631" i="47"/>
  <c r="F631" i="49"/>
  <c r="F630" i="47"/>
  <c r="E631" i="49"/>
  <c r="E630" i="49"/>
  <c r="F630" i="49"/>
  <c r="F629" i="47"/>
  <c r="F629" i="49"/>
  <c r="E629" i="49"/>
  <c r="E628" i="49"/>
  <c r="F628" i="49"/>
  <c r="F627" i="49"/>
  <c r="F626" i="47"/>
  <c r="E627" i="49"/>
  <c r="E626" i="49"/>
  <c r="F626" i="49"/>
  <c r="E625" i="49"/>
  <c r="F625" i="49"/>
  <c r="F624" i="47"/>
  <c r="E624" i="49"/>
  <c r="F624" i="49"/>
  <c r="F623" i="47"/>
  <c r="E623" i="49"/>
  <c r="F623" i="49"/>
  <c r="F622" i="47"/>
  <c r="E622" i="49"/>
  <c r="F622" i="49"/>
  <c r="F621" i="47"/>
  <c r="E621" i="49"/>
  <c r="F621" i="49"/>
  <c r="F620" i="47"/>
  <c r="E620" i="49"/>
  <c r="F619" i="47"/>
  <c r="F620" i="49"/>
  <c r="E619" i="49"/>
  <c r="F619" i="49"/>
  <c r="F618" i="47"/>
  <c r="E618" i="49"/>
  <c r="F618" i="49"/>
  <c r="F617" i="47"/>
  <c r="E617" i="49"/>
  <c r="F617" i="49"/>
  <c r="F616" i="47"/>
  <c r="E616" i="49"/>
  <c r="F616" i="49"/>
  <c r="F615" i="47"/>
  <c r="E615" i="49"/>
  <c r="F615" i="49"/>
  <c r="F614" i="47"/>
  <c r="E614" i="49"/>
  <c r="F614" i="49"/>
  <c r="F613" i="47"/>
  <c r="E613" i="49"/>
  <c r="F613" i="49"/>
  <c r="F612" i="47"/>
  <c r="E612" i="49"/>
  <c r="F611" i="47"/>
  <c r="F612" i="49"/>
  <c r="E611" i="49"/>
  <c r="F611" i="49"/>
  <c r="F610" i="47"/>
  <c r="E610" i="49"/>
  <c r="F610" i="49"/>
  <c r="F609" i="47"/>
  <c r="E609" i="49"/>
  <c r="F609" i="49"/>
  <c r="F608" i="47"/>
  <c r="E608" i="49"/>
  <c r="F608" i="49"/>
  <c r="F607" i="47"/>
  <c r="E607" i="49"/>
  <c r="F607" i="49"/>
  <c r="F606" i="47"/>
  <c r="E606" i="49"/>
  <c r="F606" i="49"/>
  <c r="F605" i="47"/>
  <c r="E605" i="49"/>
  <c r="F605" i="49"/>
  <c r="F604" i="47"/>
  <c r="E604" i="49"/>
  <c r="F603" i="47"/>
  <c r="F604" i="49"/>
  <c r="E603" i="49"/>
  <c r="F603" i="49"/>
  <c r="F602" i="47"/>
  <c r="E602" i="49"/>
  <c r="F602" i="49"/>
  <c r="F601" i="47"/>
  <c r="E601" i="49"/>
  <c r="F601" i="49"/>
  <c r="F600" i="47"/>
  <c r="E600" i="49"/>
  <c r="F600" i="49"/>
  <c r="F599" i="47"/>
  <c r="E599" i="49"/>
  <c r="F599" i="49"/>
  <c r="F598" i="47"/>
  <c r="F598" i="49"/>
  <c r="E598" i="49"/>
  <c r="E597" i="49"/>
  <c r="F597" i="49"/>
  <c r="F595" i="47"/>
  <c r="F596" i="49"/>
  <c r="E596" i="49"/>
  <c r="E595" i="49"/>
  <c r="F594" i="47"/>
  <c r="F593" i="47"/>
  <c r="F594" i="49"/>
  <c r="E594" i="49"/>
  <c r="E593" i="49"/>
  <c r="F593" i="49"/>
  <c r="F592" i="47"/>
  <c r="F591" i="47"/>
  <c r="F592" i="49"/>
  <c r="E592" i="49"/>
  <c r="F589" i="47"/>
  <c r="F590" i="49"/>
  <c r="E590" i="49"/>
  <c r="E589" i="49"/>
  <c r="F589" i="49"/>
  <c r="F588" i="47"/>
  <c r="F587" i="47"/>
  <c r="F588" i="49"/>
  <c r="E588" i="49"/>
  <c r="F585" i="47"/>
  <c r="F586" i="49"/>
  <c r="E586" i="49"/>
  <c r="E585" i="49"/>
  <c r="F585" i="49"/>
  <c r="F584" i="47"/>
  <c r="F583" i="47"/>
  <c r="F584" i="49"/>
  <c r="E584" i="49"/>
  <c r="F581" i="47"/>
  <c r="F582" i="49"/>
  <c r="F573" i="47"/>
  <c r="F574" i="49"/>
  <c r="E566" i="49"/>
  <c r="F566" i="49"/>
  <c r="F565" i="47"/>
  <c r="F558" i="49"/>
  <c r="F557" i="47"/>
  <c r="F550" i="49"/>
  <c r="E542" i="49"/>
  <c r="F541" i="47"/>
  <c r="E534" i="49"/>
  <c r="F534" i="49"/>
  <c r="F526" i="49"/>
  <c r="F525" i="47"/>
  <c r="F518" i="49"/>
  <c r="E518" i="49"/>
  <c r="F517" i="47"/>
  <c r="F510" i="49"/>
  <c r="E510" i="49"/>
  <c r="E502" i="49"/>
  <c r="F501" i="47"/>
  <c r="F502" i="49"/>
  <c r="E494" i="49"/>
  <c r="F493" i="47"/>
  <c r="E486" i="49"/>
  <c r="F485" i="47"/>
  <c r="F486" i="49"/>
  <c r="E478" i="49"/>
  <c r="F477" i="47"/>
  <c r="F470" i="49"/>
  <c r="E470" i="49"/>
  <c r="F462" i="49"/>
  <c r="E454" i="49"/>
  <c r="F454" i="49"/>
  <c r="E446" i="49"/>
  <c r="F446" i="49"/>
  <c r="E438" i="49"/>
  <c r="F438" i="49"/>
  <c r="F437" i="47"/>
  <c r="E430" i="49"/>
  <c r="F430" i="49"/>
  <c r="E422" i="49"/>
  <c r="F422" i="49"/>
  <c r="E414" i="49"/>
  <c r="F414" i="49"/>
  <c r="E406" i="49"/>
  <c r="F405" i="47"/>
  <c r="F406" i="49"/>
  <c r="F542" i="49"/>
  <c r="F509" i="47"/>
  <c r="F429" i="47"/>
  <c r="E581" i="49"/>
  <c r="F581" i="49"/>
  <c r="F580" i="47"/>
  <c r="E573" i="49"/>
  <c r="F573" i="49"/>
  <c r="F572" i="47"/>
  <c r="F565" i="49"/>
  <c r="E557" i="49"/>
  <c r="F556" i="47"/>
  <c r="E549" i="49"/>
  <c r="F549" i="49"/>
  <c r="F548" i="47"/>
  <c r="E541" i="49"/>
  <c r="F541" i="49"/>
  <c r="F540" i="47"/>
  <c r="E533" i="49"/>
  <c r="F533" i="49"/>
  <c r="F532" i="47"/>
  <c r="F524" i="47"/>
  <c r="E525" i="49"/>
  <c r="F525" i="49"/>
  <c r="F517" i="49"/>
  <c r="E517" i="49"/>
  <c r="F509" i="49"/>
  <c r="E509" i="49"/>
  <c r="F508" i="47"/>
  <c r="E501" i="49"/>
  <c r="F500" i="47"/>
  <c r="E493" i="49"/>
  <c r="F493" i="49"/>
  <c r="F492" i="47"/>
  <c r="E485" i="49"/>
  <c r="F484" i="47"/>
  <c r="E477" i="49"/>
  <c r="F477" i="49"/>
  <c r="F476" i="47"/>
  <c r="F469" i="49"/>
  <c r="F461" i="49"/>
  <c r="E461" i="49"/>
  <c r="F453" i="49"/>
  <c r="E453" i="49"/>
  <c r="E445" i="49"/>
  <c r="F445" i="49"/>
  <c r="E437" i="49"/>
  <c r="F437" i="49"/>
  <c r="F436" i="47"/>
  <c r="E429" i="49"/>
  <c r="F429" i="49"/>
  <c r="F428" i="47"/>
  <c r="E421" i="49"/>
  <c r="F421" i="49"/>
  <c r="F420" i="47"/>
  <c r="E413" i="49"/>
  <c r="F413" i="49"/>
  <c r="F412" i="47"/>
  <c r="E405" i="49"/>
  <c r="F405" i="49"/>
  <c r="F404" i="47"/>
  <c r="F559" i="47"/>
  <c r="F549" i="47"/>
  <c r="F485" i="49"/>
  <c r="F421" i="47"/>
  <c r="F579" i="47"/>
  <c r="F571" i="47"/>
  <c r="E564" i="49"/>
  <c r="F564" i="49"/>
  <c r="F563" i="47"/>
  <c r="E556" i="49"/>
  <c r="F556" i="49"/>
  <c r="F555" i="47"/>
  <c r="F548" i="49"/>
  <c r="F547" i="47"/>
  <c r="F539" i="47"/>
  <c r="F532" i="49"/>
  <c r="E532" i="49"/>
  <c r="E524" i="49"/>
  <c r="F523" i="47"/>
  <c r="F524" i="49"/>
  <c r="F516" i="49"/>
  <c r="F515" i="47"/>
  <c r="F508" i="49"/>
  <c r="F507" i="47"/>
  <c r="E508" i="49"/>
  <c r="E500" i="49"/>
  <c r="F500" i="49"/>
  <c r="F499" i="47"/>
  <c r="E492" i="49"/>
  <c r="F492" i="49"/>
  <c r="F491" i="47"/>
  <c r="E484" i="49"/>
  <c r="F484" i="49"/>
  <c r="F483" i="47"/>
  <c r="E476" i="49"/>
  <c r="F476" i="49"/>
  <c r="E468" i="49"/>
  <c r="F468" i="49"/>
  <c r="E460" i="49"/>
  <c r="F460" i="49"/>
  <c r="E452" i="49"/>
  <c r="F436" i="49"/>
  <c r="E436" i="49"/>
  <c r="F435" i="47"/>
  <c r="F428" i="49"/>
  <c r="E428" i="49"/>
  <c r="F427" i="47"/>
  <c r="F420" i="49"/>
  <c r="F419" i="47"/>
  <c r="E412" i="49"/>
  <c r="F412" i="49"/>
  <c r="F403" i="47"/>
  <c r="E404" i="49"/>
  <c r="F404" i="49"/>
  <c r="E550" i="49"/>
  <c r="E526" i="49"/>
  <c r="E462" i="49"/>
  <c r="E420" i="49"/>
  <c r="E587" i="49"/>
  <c r="F587" i="49"/>
  <c r="F586" i="47"/>
  <c r="E579" i="49"/>
  <c r="F579" i="49"/>
  <c r="F578" i="47"/>
  <c r="E571" i="49"/>
  <c r="F571" i="49"/>
  <c r="F570" i="47"/>
  <c r="F563" i="49"/>
  <c r="F562" i="47"/>
  <c r="F554" i="47"/>
  <c r="E555" i="49"/>
  <c r="E547" i="49"/>
  <c r="F546" i="47"/>
  <c r="E539" i="49"/>
  <c r="F539" i="49"/>
  <c r="F530" i="47"/>
  <c r="E523" i="49"/>
  <c r="F522" i="47"/>
  <c r="F523" i="49"/>
  <c r="F514" i="47"/>
  <c r="E515" i="49"/>
  <c r="F515" i="49"/>
  <c r="F506" i="47"/>
  <c r="F499" i="49"/>
  <c r="E499" i="49"/>
  <c r="F491" i="49"/>
  <c r="E491" i="49"/>
  <c r="F490" i="47"/>
  <c r="F483" i="49"/>
  <c r="E483" i="49"/>
  <c r="E475" i="49"/>
  <c r="F475" i="49"/>
  <c r="E459" i="49"/>
  <c r="F459" i="49"/>
  <c r="E451" i="49"/>
  <c r="F451" i="49"/>
  <c r="E443" i="49"/>
  <c r="F443" i="49"/>
  <c r="E435" i="49"/>
  <c r="F435" i="49"/>
  <c r="F434" i="47"/>
  <c r="E427" i="49"/>
  <c r="F427" i="49"/>
  <c r="F426" i="47"/>
  <c r="E419" i="49"/>
  <c r="F419" i="49"/>
  <c r="F418" i="47"/>
  <c r="E411" i="49"/>
  <c r="F411" i="49"/>
  <c r="E403" i="49"/>
  <c r="F403" i="49"/>
  <c r="F402" i="47"/>
  <c r="E558" i="49"/>
  <c r="E548" i="49"/>
  <c r="F501" i="49"/>
  <c r="F410" i="47"/>
  <c r="F577" i="47"/>
  <c r="F569" i="47"/>
  <c r="F561" i="47"/>
  <c r="E554" i="49"/>
  <c r="F554" i="49"/>
  <c r="E546" i="49"/>
  <c r="F546" i="49"/>
  <c r="F545" i="47"/>
  <c r="E538" i="49"/>
  <c r="F538" i="49"/>
  <c r="F537" i="47"/>
  <c r="F529" i="47"/>
  <c r="E530" i="49"/>
  <c r="F530" i="49"/>
  <c r="F521" i="47"/>
  <c r="E514" i="49"/>
  <c r="F513" i="47"/>
  <c r="F514" i="49"/>
  <c r="F506" i="49"/>
  <c r="E506" i="49"/>
  <c r="F498" i="49"/>
  <c r="E498" i="49"/>
  <c r="F497" i="47"/>
  <c r="F490" i="49"/>
  <c r="E490" i="49"/>
  <c r="F482" i="49"/>
  <c r="E482" i="49"/>
  <c r="F481" i="47"/>
  <c r="E474" i="49"/>
  <c r="F473" i="47"/>
  <c r="E466" i="49"/>
  <c r="F466" i="49"/>
  <c r="E458" i="49"/>
  <c r="F458" i="49"/>
  <c r="E450" i="49"/>
  <c r="F450" i="49"/>
  <c r="F442" i="49"/>
  <c r="F441" i="47"/>
  <c r="E442" i="49"/>
  <c r="F434" i="49"/>
  <c r="F433" i="47"/>
  <c r="E434" i="49"/>
  <c r="F426" i="49"/>
  <c r="F425" i="47"/>
  <c r="E426" i="49"/>
  <c r="F418" i="49"/>
  <c r="F417" i="47"/>
  <c r="E418" i="49"/>
  <c r="E410" i="49"/>
  <c r="F410" i="49"/>
  <c r="F409" i="47"/>
  <c r="E402" i="49"/>
  <c r="F402" i="49"/>
  <c r="F401" i="47"/>
  <c r="F557" i="49"/>
  <c r="F547" i="49"/>
  <c r="F498" i="47"/>
  <c r="F478" i="49"/>
  <c r="F452" i="49"/>
  <c r="E577" i="49"/>
  <c r="F577" i="49"/>
  <c r="F576" i="47"/>
  <c r="E569" i="49"/>
  <c r="F569" i="49"/>
  <c r="F568" i="47"/>
  <c r="E561" i="49"/>
  <c r="F561" i="49"/>
  <c r="F560" i="47"/>
  <c r="F553" i="49"/>
  <c r="F552" i="47"/>
  <c r="F544" i="47"/>
  <c r="F545" i="49"/>
  <c r="E529" i="49"/>
  <c r="F529" i="49"/>
  <c r="F528" i="47"/>
  <c r="F520" i="47"/>
  <c r="E513" i="49"/>
  <c r="F512" i="47"/>
  <c r="F513" i="49"/>
  <c r="F505" i="49"/>
  <c r="F497" i="49"/>
  <c r="F496" i="47"/>
  <c r="E497" i="49"/>
  <c r="F488" i="47"/>
  <c r="F481" i="49"/>
  <c r="F480" i="47"/>
  <c r="E481" i="49"/>
  <c r="E473" i="49"/>
  <c r="F473" i="49"/>
  <c r="E465" i="49"/>
  <c r="F465" i="49"/>
  <c r="E457" i="49"/>
  <c r="F457" i="49"/>
  <c r="E449" i="49"/>
  <c r="F449" i="49"/>
  <c r="E441" i="49"/>
  <c r="F440" i="47"/>
  <c r="E433" i="49"/>
  <c r="F432" i="47"/>
  <c r="E425" i="49"/>
  <c r="F424" i="47"/>
  <c r="F425" i="49"/>
  <c r="E417" i="49"/>
  <c r="F416" i="47"/>
  <c r="F417" i="49"/>
  <c r="F408" i="47"/>
  <c r="F401" i="49"/>
  <c r="F400" i="47"/>
  <c r="F555" i="49"/>
  <c r="F516" i="47"/>
  <c r="F474" i="49"/>
  <c r="E444" i="49"/>
  <c r="E401" i="49"/>
  <c r="F575" i="47"/>
  <c r="F551" i="47"/>
  <c r="E544" i="49"/>
  <c r="F544" i="49"/>
  <c r="F543" i="47"/>
  <c r="E536" i="49"/>
  <c r="F528" i="49"/>
  <c r="E528" i="49"/>
  <c r="F527" i="47"/>
  <c r="F519" i="47"/>
  <c r="E520" i="49"/>
  <c r="F520" i="49"/>
  <c r="E512" i="49"/>
  <c r="F511" i="47"/>
  <c r="E504" i="49"/>
  <c r="F504" i="49"/>
  <c r="F495" i="47"/>
  <c r="F487" i="47"/>
  <c r="E488" i="49"/>
  <c r="F488" i="49"/>
  <c r="F479" i="47"/>
  <c r="F472" i="49"/>
  <c r="E472" i="49"/>
  <c r="F464" i="49"/>
  <c r="E464" i="49"/>
  <c r="E456" i="49"/>
  <c r="F456" i="49"/>
  <c r="E448" i="49"/>
  <c r="F448" i="49"/>
  <c r="E440" i="49"/>
  <c r="F440" i="49"/>
  <c r="F439" i="47"/>
  <c r="E432" i="49"/>
  <c r="F432" i="49"/>
  <c r="F431" i="47"/>
  <c r="E424" i="49"/>
  <c r="F424" i="49"/>
  <c r="F423" i="47"/>
  <c r="E416" i="49"/>
  <c r="F416" i="49"/>
  <c r="F415" i="47"/>
  <c r="E408" i="49"/>
  <c r="F408" i="49"/>
  <c r="F407" i="47"/>
  <c r="E400" i="49"/>
  <c r="F400" i="49"/>
  <c r="F399" i="47"/>
  <c r="E582" i="49"/>
  <c r="E574" i="49"/>
  <c r="E565" i="49"/>
  <c r="F553" i="47"/>
  <c r="E545" i="49"/>
  <c r="E516" i="49"/>
  <c r="F494" i="49"/>
  <c r="F471" i="47"/>
  <c r="F441" i="49"/>
  <c r="E591" i="49"/>
  <c r="F591" i="49"/>
  <c r="F590" i="47"/>
  <c r="E583" i="49"/>
  <c r="F583" i="49"/>
  <c r="F582" i="47"/>
  <c r="E575" i="49"/>
  <c r="F575" i="49"/>
  <c r="F574" i="47"/>
  <c r="E567" i="49"/>
  <c r="F567" i="49"/>
  <c r="E559" i="49"/>
  <c r="F559" i="49"/>
  <c r="F558" i="47"/>
  <c r="E551" i="49"/>
  <c r="F551" i="49"/>
  <c r="F550" i="47"/>
  <c r="F543" i="49"/>
  <c r="F542" i="47"/>
  <c r="F527" i="49"/>
  <c r="E527" i="49"/>
  <c r="E519" i="49"/>
  <c r="F519" i="49"/>
  <c r="F518" i="47"/>
  <c r="E511" i="49"/>
  <c r="F511" i="49"/>
  <c r="F510" i="47"/>
  <c r="E503" i="49"/>
  <c r="F502" i="47"/>
  <c r="F503" i="49"/>
  <c r="E495" i="49"/>
  <c r="F494" i="47"/>
  <c r="F495" i="49"/>
  <c r="E487" i="49"/>
  <c r="F486" i="47"/>
  <c r="F487" i="49"/>
  <c r="E479" i="49"/>
  <c r="F478" i="47"/>
  <c r="F479" i="49"/>
  <c r="F471" i="49"/>
  <c r="E471" i="49"/>
  <c r="F463" i="49"/>
  <c r="E463" i="49"/>
  <c r="F447" i="49"/>
  <c r="E447" i="49"/>
  <c r="F438" i="47"/>
  <c r="E439" i="49"/>
  <c r="F439" i="49"/>
  <c r="F430" i="47"/>
  <c r="E431" i="49"/>
  <c r="F431" i="49"/>
  <c r="F422" i="47"/>
  <c r="E423" i="49"/>
  <c r="F423" i="49"/>
  <c r="E415" i="49"/>
  <c r="F415" i="49"/>
  <c r="F407" i="49"/>
  <c r="F406" i="47"/>
  <c r="E407" i="49"/>
  <c r="E563" i="49"/>
  <c r="E553" i="49"/>
  <c r="E543" i="49"/>
  <c r="F531" i="47"/>
  <c r="F512" i="49"/>
  <c r="F489" i="47"/>
  <c r="E469" i="49"/>
  <c r="F433" i="49"/>
  <c r="G473" i="47" l="1"/>
  <c r="I474" i="49" s="1"/>
  <c r="G442" i="47"/>
  <c r="I443" i="49" s="1"/>
  <c r="G534" i="47"/>
  <c r="I535" i="49" s="1"/>
  <c r="I414" i="49"/>
  <c r="G564" i="47"/>
  <c r="I565" i="49" s="1"/>
  <c r="G503" i="47"/>
  <c r="I504" i="49" s="1"/>
  <c r="I626" i="49"/>
  <c r="G687" i="47"/>
  <c r="I688" i="49" s="1"/>
  <c r="G414" i="47"/>
  <c r="I415" i="49" s="1"/>
  <c r="I476" i="49"/>
  <c r="G626" i="47"/>
  <c r="I627" i="49" s="1"/>
  <c r="G595" i="47"/>
  <c r="I596" i="49" s="1"/>
  <c r="G656" i="47"/>
  <c r="I657" i="49" s="1"/>
  <c r="I475" i="49"/>
  <c r="I628" i="49"/>
  <c r="G717" i="47"/>
  <c r="I718" i="49" s="1"/>
  <c r="I567" i="49"/>
  <c r="I598" i="49"/>
  <c r="I659" i="49"/>
  <c r="I506" i="49"/>
  <c r="I445" i="49"/>
  <c r="I537" i="49"/>
  <c r="I721" i="49"/>
  <c r="I690" i="49"/>
  <c r="I629" i="49"/>
  <c r="I568" i="49"/>
  <c r="I413" i="49"/>
  <c r="I566" i="49"/>
  <c r="I505" i="49"/>
  <c r="I658" i="49"/>
  <c r="I719" i="49"/>
  <c r="I597" i="49"/>
  <c r="I689" i="49"/>
  <c r="I720" i="49"/>
  <c r="G748" i="47"/>
  <c r="I749" i="49" s="1"/>
  <c r="I411" i="49"/>
  <c r="I625" i="49"/>
  <c r="I564" i="49"/>
  <c r="I533" i="49"/>
  <c r="I472" i="49"/>
  <c r="I686" i="49"/>
  <c r="I473" i="49"/>
  <c r="I442" i="49"/>
  <c r="I503" i="49"/>
  <c r="I534" i="49"/>
  <c r="I687" i="49"/>
  <c r="E495" i="47"/>
  <c r="G496" i="49" s="1"/>
  <c r="F496" i="49"/>
  <c r="E575" i="47"/>
  <c r="G576" i="49" s="1"/>
  <c r="F576" i="49"/>
  <c r="E520" i="47"/>
  <c r="G521" i="49" s="1"/>
  <c r="F521" i="49"/>
  <c r="E561" i="47"/>
  <c r="G562" i="49" s="1"/>
  <c r="E562" i="49"/>
  <c r="E559" i="47"/>
  <c r="G560" i="49" s="1"/>
  <c r="F560" i="49"/>
  <c r="E569" i="47"/>
  <c r="G570" i="49" s="1"/>
  <c r="F570" i="49"/>
  <c r="E539" i="47"/>
  <c r="G540" i="49" s="1"/>
  <c r="E540" i="49"/>
  <c r="I748" i="49"/>
  <c r="F748" i="49"/>
  <c r="E579" i="47"/>
  <c r="G580" i="49" s="1"/>
  <c r="F580" i="49"/>
  <c r="E466" i="47"/>
  <c r="G467" i="49" s="1"/>
  <c r="E467" i="49"/>
  <c r="I444" i="49"/>
  <c r="F444" i="49"/>
  <c r="E567" i="47"/>
  <c r="G568" i="49" s="1"/>
  <c r="E568" i="49"/>
  <c r="E454" i="47"/>
  <c r="G455" i="49" s="1"/>
  <c r="F455" i="49"/>
  <c r="E479" i="47"/>
  <c r="G480" i="49" s="1"/>
  <c r="F480" i="49"/>
  <c r="E408" i="47"/>
  <c r="G409" i="49" s="1"/>
  <c r="F409" i="49"/>
  <c r="E521" i="47"/>
  <c r="G522" i="49" s="1"/>
  <c r="E522" i="49"/>
  <c r="E577" i="47"/>
  <c r="G578" i="49" s="1"/>
  <c r="F578" i="49"/>
  <c r="E571" i="47"/>
  <c r="G572" i="49" s="1"/>
  <c r="F572" i="49"/>
  <c r="E506" i="47"/>
  <c r="G507" i="49" s="1"/>
  <c r="F507" i="49"/>
  <c r="E551" i="47"/>
  <c r="G552" i="49" s="1"/>
  <c r="E552" i="49"/>
  <c r="I536" i="49"/>
  <c r="F536" i="49"/>
  <c r="I717" i="49"/>
  <c r="F717" i="49"/>
  <c r="E536" i="47"/>
  <c r="G537" i="49" s="1"/>
  <c r="E537" i="49"/>
  <c r="E534" i="47"/>
  <c r="G535" i="49" s="1"/>
  <c r="E535" i="49"/>
  <c r="I656" i="49"/>
  <c r="F656" i="49"/>
  <c r="E530" i="47"/>
  <c r="G531" i="49" s="1"/>
  <c r="F531" i="49"/>
  <c r="E488" i="47"/>
  <c r="G489" i="49" s="1"/>
  <c r="F489" i="49"/>
  <c r="I595" i="49"/>
  <c r="F595" i="49"/>
  <c r="E497" i="47"/>
  <c r="G498" i="49" s="1"/>
  <c r="E504" i="47"/>
  <c r="G505" i="49" s="1"/>
  <c r="E682" i="47"/>
  <c r="G683" i="49" s="1"/>
  <c r="E666" i="47"/>
  <c r="G667" i="49" s="1"/>
  <c r="E674" i="47"/>
  <c r="G675" i="49" s="1"/>
  <c r="E664" i="47"/>
  <c r="G665" i="49" s="1"/>
  <c r="E672" i="47"/>
  <c r="G673" i="49" s="1"/>
  <c r="E680" i="47"/>
  <c r="G681" i="49" s="1"/>
  <c r="E697" i="47"/>
  <c r="G698" i="49" s="1"/>
  <c r="E713" i="47"/>
  <c r="G714" i="49" s="1"/>
  <c r="E670" i="47"/>
  <c r="G671" i="49" s="1"/>
  <c r="E678" i="47"/>
  <c r="G679" i="49" s="1"/>
  <c r="E668" i="47"/>
  <c r="G669" i="49" s="1"/>
  <c r="E676" i="47"/>
  <c r="G677" i="49" s="1"/>
  <c r="E684" i="47"/>
  <c r="G685" i="49" s="1"/>
  <c r="E693" i="47"/>
  <c r="G694" i="49" s="1"/>
  <c r="E701" i="47"/>
  <c r="G702" i="49" s="1"/>
  <c r="E709" i="47"/>
  <c r="G710" i="49" s="1"/>
  <c r="E711" i="47"/>
  <c r="G712" i="49" s="1"/>
  <c r="E695" i="47"/>
  <c r="G696" i="49" s="1"/>
  <c r="E703" i="47"/>
  <c r="G704" i="49" s="1"/>
  <c r="E707" i="47"/>
  <c r="G708" i="49" s="1"/>
  <c r="E699" i="47"/>
  <c r="G700" i="49" s="1"/>
  <c r="E414" i="47"/>
  <c r="G415" i="49" s="1"/>
  <c r="E705" i="47"/>
  <c r="G706" i="49" s="1"/>
  <c r="E406" i="47"/>
  <c r="G407" i="49" s="1"/>
  <c r="E517" i="47"/>
  <c r="G518" i="49" s="1"/>
  <c r="E736" i="47"/>
  <c r="G737" i="49" s="1"/>
  <c r="G763" i="49"/>
  <c r="E546" i="47"/>
  <c r="G547" i="49" s="1"/>
  <c r="E452" i="47"/>
  <c r="G453" i="49" s="1"/>
  <c r="E440" i="47"/>
  <c r="G441" i="49" s="1"/>
  <c r="E425" i="47"/>
  <c r="G426" i="49" s="1"/>
  <c r="E441" i="47"/>
  <c r="G442" i="49" s="1"/>
  <c r="E507" i="47"/>
  <c r="G508" i="49" s="1"/>
  <c r="E471" i="47"/>
  <c r="G472" i="49" s="1"/>
  <c r="E443" i="47"/>
  <c r="G444" i="49" s="1"/>
  <c r="E496" i="47"/>
  <c r="G497" i="49" s="1"/>
  <c r="E473" i="47"/>
  <c r="G474" i="49" s="1"/>
  <c r="E554" i="47"/>
  <c r="G555" i="49" s="1"/>
  <c r="E508" i="47"/>
  <c r="G509" i="49" s="1"/>
  <c r="E462" i="47"/>
  <c r="G463" i="49" s="1"/>
  <c r="E527" i="47"/>
  <c r="G528" i="49" s="1"/>
  <c r="E480" i="47"/>
  <c r="G481" i="49" s="1"/>
  <c r="E438" i="47"/>
  <c r="G439" i="49" s="1"/>
  <c r="E558" i="47"/>
  <c r="G559" i="49" s="1"/>
  <c r="E490" i="47"/>
  <c r="G491" i="49" s="1"/>
  <c r="E435" i="47"/>
  <c r="G436" i="49" s="1"/>
  <c r="E587" i="47"/>
  <c r="G588" i="49" s="1"/>
  <c r="E589" i="47"/>
  <c r="G590" i="49" s="1"/>
  <c r="E626" i="47"/>
  <c r="G627" i="49" s="1"/>
  <c r="E628" i="47"/>
  <c r="G629" i="49" s="1"/>
  <c r="E485" i="47"/>
  <c r="G486" i="49" s="1"/>
  <c r="E687" i="47"/>
  <c r="G688" i="49" s="1"/>
  <c r="E481" i="47"/>
  <c r="G482" i="49" s="1"/>
  <c r="E689" i="47"/>
  <c r="G690" i="49" s="1"/>
  <c r="E562" i="47"/>
  <c r="G563" i="49" s="1"/>
  <c r="E470" i="47"/>
  <c r="G471" i="49" s="1"/>
  <c r="E515" i="47"/>
  <c r="G516" i="49" s="1"/>
  <c r="E463" i="47"/>
  <c r="G464" i="49" s="1"/>
  <c r="E519" i="47"/>
  <c r="G520" i="49" s="1"/>
  <c r="E535" i="47"/>
  <c r="G536" i="49" s="1"/>
  <c r="E401" i="47"/>
  <c r="G402" i="49" s="1"/>
  <c r="E417" i="47"/>
  <c r="G418" i="49" s="1"/>
  <c r="E465" i="47"/>
  <c r="G466" i="49" s="1"/>
  <c r="E505" i="47"/>
  <c r="G506" i="49" s="1"/>
  <c r="E460" i="47"/>
  <c r="G461" i="49" s="1"/>
  <c r="E556" i="47"/>
  <c r="G557" i="49" s="1"/>
  <c r="E627" i="47"/>
  <c r="G628" i="49" s="1"/>
  <c r="E629" i="47"/>
  <c r="G630" i="49" s="1"/>
  <c r="E631" i="47"/>
  <c r="G632" i="49" s="1"/>
  <c r="E633" i="47"/>
  <c r="G634" i="49" s="1"/>
  <c r="E653" i="47"/>
  <c r="G654" i="49" s="1"/>
  <c r="E655" i="47"/>
  <c r="G656" i="49" s="1"/>
  <c r="E735" i="47"/>
  <c r="G736" i="49" s="1"/>
  <c r="E737" i="47"/>
  <c r="G738" i="49" s="1"/>
  <c r="E662" i="47"/>
  <c r="G663" i="49" s="1"/>
  <c r="E688" i="47"/>
  <c r="G689" i="49" s="1"/>
  <c r="E694" i="47"/>
  <c r="G695" i="49" s="1"/>
  <c r="E700" i="47"/>
  <c r="G701" i="49" s="1"/>
  <c r="E706" i="47"/>
  <c r="G707" i="49" s="1"/>
  <c r="E712" i="47"/>
  <c r="G713" i="49" s="1"/>
  <c r="E718" i="47"/>
  <c r="G719" i="49" s="1"/>
  <c r="E724" i="47"/>
  <c r="G725" i="49" s="1"/>
  <c r="E732" i="47"/>
  <c r="G733" i="49" s="1"/>
  <c r="E744" i="47"/>
  <c r="G745" i="49" s="1"/>
  <c r="E746" i="47"/>
  <c r="G747" i="49" s="1"/>
  <c r="E748" i="47"/>
  <c r="G749" i="49" s="1"/>
  <c r="E750" i="47"/>
  <c r="G751" i="49" s="1"/>
  <c r="E752" i="47"/>
  <c r="G753" i="49" s="1"/>
  <c r="E754" i="47"/>
  <c r="G755" i="49" s="1"/>
  <c r="E756" i="47"/>
  <c r="G757" i="49" s="1"/>
  <c r="E758" i="47"/>
  <c r="G759" i="49" s="1"/>
  <c r="E760" i="47"/>
  <c r="G761" i="49" s="1"/>
  <c r="E422" i="47"/>
  <c r="G423" i="49" s="1"/>
  <c r="E658" i="47"/>
  <c r="G659" i="49" s="1"/>
  <c r="E692" i="47"/>
  <c r="G693" i="49" s="1"/>
  <c r="E696" i="47"/>
  <c r="G697" i="49" s="1"/>
  <c r="E702" i="47"/>
  <c r="G703" i="49" s="1"/>
  <c r="E708" i="47"/>
  <c r="G709" i="49" s="1"/>
  <c r="E714" i="47"/>
  <c r="G715" i="49" s="1"/>
  <c r="E720" i="47"/>
  <c r="G721" i="49" s="1"/>
  <c r="E726" i="47"/>
  <c r="G727" i="49" s="1"/>
  <c r="E448" i="47"/>
  <c r="G449" i="49" s="1"/>
  <c r="E442" i="47"/>
  <c r="G443" i="49" s="1"/>
  <c r="E541" i="47"/>
  <c r="G542" i="49" s="1"/>
  <c r="E469" i="47"/>
  <c r="G470" i="49" s="1"/>
  <c r="E509" i="47"/>
  <c r="G510" i="49" s="1"/>
  <c r="E525" i="47"/>
  <c r="G526" i="49" s="1"/>
  <c r="E625" i="47"/>
  <c r="G626" i="49" s="1"/>
  <c r="E468" i="47"/>
  <c r="G469" i="49" s="1"/>
  <c r="E660" i="47"/>
  <c r="G661" i="49" s="1"/>
  <c r="E690" i="47"/>
  <c r="G691" i="49" s="1"/>
  <c r="E698" i="47"/>
  <c r="G699" i="49" s="1"/>
  <c r="E704" i="47"/>
  <c r="G705" i="49" s="1"/>
  <c r="E710" i="47"/>
  <c r="G711" i="49" s="1"/>
  <c r="E716" i="47"/>
  <c r="G717" i="49" s="1"/>
  <c r="E722" i="47"/>
  <c r="G723" i="49" s="1"/>
  <c r="E728" i="47"/>
  <c r="G729" i="49" s="1"/>
  <c r="E734" i="47"/>
  <c r="G735" i="49" s="1"/>
  <c r="E432" i="47"/>
  <c r="G433" i="49" s="1"/>
  <c r="E500" i="47"/>
  <c r="G501" i="49" s="1"/>
  <c r="E572" i="47"/>
  <c r="G573" i="49" s="1"/>
  <c r="E739" i="47"/>
  <c r="G740" i="49" s="1"/>
  <c r="E759" i="47"/>
  <c r="G760" i="49" s="1"/>
  <c r="E630" i="47"/>
  <c r="G631" i="49" s="1"/>
  <c r="E632" i="47"/>
  <c r="G633" i="49" s="1"/>
  <c r="E634" i="47"/>
  <c r="G635" i="49" s="1"/>
  <c r="E638" i="47"/>
  <c r="G639" i="49" s="1"/>
  <c r="E640" i="47"/>
  <c r="G641" i="49" s="1"/>
  <c r="E642" i="47"/>
  <c r="G643" i="49" s="1"/>
  <c r="E646" i="47"/>
  <c r="G647" i="49" s="1"/>
  <c r="E648" i="47"/>
  <c r="G649" i="49" s="1"/>
  <c r="E650" i="47"/>
  <c r="G651" i="49" s="1"/>
  <c r="E652" i="47"/>
  <c r="G653" i="49" s="1"/>
  <c r="E588" i="47"/>
  <c r="G589" i="49" s="1"/>
  <c r="E522" i="47"/>
  <c r="G523" i="49" s="1"/>
  <c r="E451" i="47"/>
  <c r="G452" i="49" s="1"/>
  <c r="E499" i="47"/>
  <c r="G500" i="49" s="1"/>
  <c r="E412" i="47"/>
  <c r="G413" i="49" s="1"/>
  <c r="E493" i="47"/>
  <c r="G494" i="49" s="1"/>
  <c r="E691" i="47"/>
  <c r="G692" i="49" s="1"/>
  <c r="E400" i="47"/>
  <c r="G401" i="49" s="1"/>
  <c r="E472" i="47"/>
  <c r="G473" i="49" s="1"/>
  <c r="E489" i="47"/>
  <c r="G490" i="49" s="1"/>
  <c r="E434" i="47"/>
  <c r="G435" i="49" s="1"/>
  <c r="E484" i="47"/>
  <c r="G485" i="49" s="1"/>
  <c r="E477" i="47"/>
  <c r="G478" i="49" s="1"/>
  <c r="E557" i="47"/>
  <c r="G558" i="49" s="1"/>
  <c r="E727" i="47"/>
  <c r="G728" i="49" s="1"/>
  <c r="E731" i="47"/>
  <c r="G732" i="49" s="1"/>
  <c r="E733" i="47"/>
  <c r="G734" i="49" s="1"/>
  <c r="E450" i="47"/>
  <c r="G451" i="49" s="1"/>
  <c r="E564" i="47"/>
  <c r="G565" i="49" s="1"/>
  <c r="E409" i="47"/>
  <c r="G410" i="49" s="1"/>
  <c r="E446" i="47"/>
  <c r="G447" i="49" s="1"/>
  <c r="E581" i="47"/>
  <c r="G582" i="49" s="1"/>
  <c r="E416" i="47"/>
  <c r="G417" i="49" s="1"/>
  <c r="E433" i="47"/>
  <c r="G434" i="49" s="1"/>
  <c r="E482" i="47"/>
  <c r="G483" i="49" s="1"/>
  <c r="E427" i="47"/>
  <c r="G428" i="49" s="1"/>
  <c r="E531" i="47"/>
  <c r="G532" i="49" s="1"/>
  <c r="E516" i="47"/>
  <c r="G517" i="49" s="1"/>
  <c r="E740" i="47"/>
  <c r="G741" i="49" s="1"/>
  <c r="E742" i="47"/>
  <c r="G743" i="49" s="1"/>
  <c r="E476" i="47"/>
  <c r="G477" i="49" s="1"/>
  <c r="E437" i="47"/>
  <c r="G438" i="49" s="1"/>
  <c r="E549" i="47"/>
  <c r="G550" i="49" s="1"/>
  <c r="E483" i="47"/>
  <c r="G484" i="49" s="1"/>
  <c r="E555" i="47"/>
  <c r="G556" i="49" s="1"/>
  <c r="E428" i="47"/>
  <c r="G429" i="49" s="1"/>
  <c r="E741" i="47"/>
  <c r="G742" i="49" s="1"/>
  <c r="E743" i="47"/>
  <c r="G744" i="49" s="1"/>
  <c r="E745" i="47"/>
  <c r="G746" i="49" s="1"/>
  <c r="E747" i="47"/>
  <c r="G748" i="49" s="1"/>
  <c r="E749" i="47"/>
  <c r="G750" i="49" s="1"/>
  <c r="E751" i="47"/>
  <c r="G752" i="49" s="1"/>
  <c r="E753" i="47"/>
  <c r="G754" i="49" s="1"/>
  <c r="E755" i="47"/>
  <c r="G756" i="49" s="1"/>
  <c r="E757" i="47"/>
  <c r="G758" i="49" s="1"/>
  <c r="E453" i="47"/>
  <c r="G454" i="49" s="1"/>
  <c r="E467" i="47"/>
  <c r="G468" i="49" s="1"/>
  <c r="E456" i="47"/>
  <c r="G457" i="49" s="1"/>
  <c r="E537" i="47"/>
  <c r="G538" i="49" s="1"/>
  <c r="E540" i="47"/>
  <c r="G541" i="49" s="1"/>
  <c r="E533" i="47"/>
  <c r="G534" i="49" s="1"/>
  <c r="E729" i="47"/>
  <c r="G730" i="49" s="1"/>
  <c r="E457" i="47"/>
  <c r="G458" i="49" s="1"/>
  <c r="E526" i="47"/>
  <c r="G527" i="49" s="1"/>
  <c r="E478" i="47"/>
  <c r="G479" i="49" s="1"/>
  <c r="E494" i="47"/>
  <c r="G495" i="49" s="1"/>
  <c r="E543" i="47"/>
  <c r="G544" i="49" s="1"/>
  <c r="E498" i="47"/>
  <c r="G499" i="49" s="1"/>
  <c r="E492" i="47"/>
  <c r="G493" i="49" s="1"/>
  <c r="E501" i="47"/>
  <c r="G502" i="49" s="1"/>
  <c r="E444" i="47"/>
  <c r="G445" i="49" s="1"/>
  <c r="E524" i="47"/>
  <c r="G525" i="49" s="1"/>
  <c r="E421" i="47"/>
  <c r="G422" i="49" s="1"/>
  <c r="E599" i="47"/>
  <c r="G600" i="49" s="1"/>
  <c r="E601" i="47"/>
  <c r="G602" i="49" s="1"/>
  <c r="E603" i="47"/>
  <c r="G604" i="49" s="1"/>
  <c r="E605" i="47"/>
  <c r="G606" i="49" s="1"/>
  <c r="E607" i="47"/>
  <c r="G608" i="49" s="1"/>
  <c r="E609" i="47"/>
  <c r="G610" i="49" s="1"/>
  <c r="E611" i="47"/>
  <c r="G612" i="49" s="1"/>
  <c r="E613" i="47"/>
  <c r="G614" i="49" s="1"/>
  <c r="E615" i="47"/>
  <c r="G616" i="49" s="1"/>
  <c r="E617" i="47"/>
  <c r="G618" i="49" s="1"/>
  <c r="E619" i="47"/>
  <c r="G620" i="49" s="1"/>
  <c r="E621" i="47"/>
  <c r="G622" i="49" s="1"/>
  <c r="E623" i="47"/>
  <c r="G624" i="49" s="1"/>
  <c r="E635" i="47"/>
  <c r="G636" i="49" s="1"/>
  <c r="E637" i="47"/>
  <c r="G638" i="49" s="1"/>
  <c r="E639" i="47"/>
  <c r="G640" i="49" s="1"/>
  <c r="E641" i="47"/>
  <c r="G642" i="49" s="1"/>
  <c r="E643" i="47"/>
  <c r="G644" i="49" s="1"/>
  <c r="E645" i="47"/>
  <c r="G646" i="49" s="1"/>
  <c r="E647" i="47"/>
  <c r="G648" i="49" s="1"/>
  <c r="E649" i="47"/>
  <c r="G650" i="49" s="1"/>
  <c r="E651" i="47"/>
  <c r="G652" i="49" s="1"/>
  <c r="E568" i="47"/>
  <c r="G569" i="49" s="1"/>
  <c r="E512" i="47"/>
  <c r="G513" i="49" s="1"/>
  <c r="E403" i="47"/>
  <c r="G404" i="49" s="1"/>
  <c r="E405" i="47"/>
  <c r="G406" i="49" s="1"/>
  <c r="E510" i="47"/>
  <c r="G511" i="49" s="1"/>
  <c r="E550" i="47"/>
  <c r="G551" i="49" s="1"/>
  <c r="E423" i="47"/>
  <c r="G424" i="49" s="1"/>
  <c r="E586" i="47"/>
  <c r="G587" i="49" s="1"/>
  <c r="E523" i="47"/>
  <c r="G524" i="49" s="1"/>
  <c r="E528" i="47"/>
  <c r="G529" i="49" s="1"/>
  <c r="E402" i="47"/>
  <c r="G403" i="49" s="1"/>
  <c r="E424" i="47"/>
  <c r="G425" i="49" s="1"/>
  <c r="E566" i="47"/>
  <c r="G567" i="49" s="1"/>
  <c r="E573" i="47"/>
  <c r="G574" i="49" s="1"/>
  <c r="E439" i="47"/>
  <c r="G440" i="49" s="1"/>
  <c r="E529" i="47"/>
  <c r="G530" i="49" s="1"/>
  <c r="E582" i="47"/>
  <c r="G583" i="49" s="1"/>
  <c r="E464" i="47"/>
  <c r="G465" i="49" s="1"/>
  <c r="E545" i="47"/>
  <c r="G546" i="49" s="1"/>
  <c r="E426" i="47"/>
  <c r="G427" i="49" s="1"/>
  <c r="E458" i="47"/>
  <c r="G459" i="49" s="1"/>
  <c r="E474" i="47"/>
  <c r="G475" i="49" s="1"/>
  <c r="E418" i="47"/>
  <c r="G419" i="49" s="1"/>
  <c r="E430" i="47"/>
  <c r="G431" i="49" s="1"/>
  <c r="E407" i="47"/>
  <c r="G408" i="49" s="1"/>
  <c r="E455" i="47"/>
  <c r="G456" i="49" s="1"/>
  <c r="E511" i="47"/>
  <c r="G512" i="49" s="1"/>
  <c r="E514" i="47"/>
  <c r="G515" i="49" s="1"/>
  <c r="E570" i="47"/>
  <c r="G571" i="49" s="1"/>
  <c r="E552" i="47"/>
  <c r="G553" i="49" s="1"/>
  <c r="E449" i="47"/>
  <c r="G450" i="49" s="1"/>
  <c r="E513" i="47"/>
  <c r="G514" i="49" s="1"/>
  <c r="E715" i="47"/>
  <c r="G716" i="49" s="1"/>
  <c r="E717" i="47"/>
  <c r="G718" i="49" s="1"/>
  <c r="E730" i="47"/>
  <c r="G731" i="49" s="1"/>
  <c r="E738" i="47"/>
  <c r="G739" i="49" s="1"/>
  <c r="E459" i="47"/>
  <c r="G460" i="49" s="1"/>
  <c r="E491" i="47"/>
  <c r="G492" i="49" s="1"/>
  <c r="E404" i="47"/>
  <c r="G405" i="49" s="1"/>
  <c r="E436" i="47"/>
  <c r="G437" i="49" s="1"/>
  <c r="E580" i="47"/>
  <c r="G581" i="49" s="1"/>
  <c r="E657" i="47"/>
  <c r="G658" i="49" s="1"/>
  <c r="E661" i="47"/>
  <c r="G662" i="49" s="1"/>
  <c r="E665" i="47"/>
  <c r="G666" i="49" s="1"/>
  <c r="E669" i="47"/>
  <c r="G670" i="49" s="1"/>
  <c r="E673" i="47"/>
  <c r="G674" i="49" s="1"/>
  <c r="E677" i="47"/>
  <c r="G678" i="49" s="1"/>
  <c r="E681" i="47"/>
  <c r="G682" i="49" s="1"/>
  <c r="E685" i="47"/>
  <c r="G686" i="49" s="1"/>
  <c r="E486" i="47"/>
  <c r="G487" i="49" s="1"/>
  <c r="E518" i="47"/>
  <c r="G519" i="49" s="1"/>
  <c r="E560" i="47"/>
  <c r="G561" i="49" s="1"/>
  <c r="E410" i="47"/>
  <c r="G411" i="49" s="1"/>
  <c r="E429" i="47"/>
  <c r="G430" i="49" s="1"/>
  <c r="E594" i="47"/>
  <c r="G595" i="49" s="1"/>
  <c r="E654" i="47"/>
  <c r="G655" i="49" s="1"/>
  <c r="E656" i="47"/>
  <c r="G657" i="49" s="1"/>
  <c r="E761" i="47"/>
  <c r="G762" i="49" s="1"/>
  <c r="E475" i="47"/>
  <c r="G476" i="49" s="1"/>
  <c r="E563" i="47"/>
  <c r="G564" i="49" s="1"/>
  <c r="E420" i="47"/>
  <c r="G421" i="49" s="1"/>
  <c r="E659" i="47"/>
  <c r="G660" i="49" s="1"/>
  <c r="E663" i="47"/>
  <c r="G664" i="49" s="1"/>
  <c r="E667" i="47"/>
  <c r="G668" i="49" s="1"/>
  <c r="E671" i="47"/>
  <c r="G672" i="49" s="1"/>
  <c r="E675" i="47"/>
  <c r="G676" i="49" s="1"/>
  <c r="E679" i="47"/>
  <c r="G680" i="49" s="1"/>
  <c r="E683" i="47"/>
  <c r="G684" i="49" s="1"/>
  <c r="E502" i="47"/>
  <c r="G503" i="49" s="1"/>
  <c r="E576" i="47"/>
  <c r="G577" i="49" s="1"/>
  <c r="E547" i="47"/>
  <c r="G548" i="49" s="1"/>
  <c r="E419" i="47"/>
  <c r="G420" i="49" s="1"/>
  <c r="E413" i="47"/>
  <c r="G414" i="49" s="1"/>
  <c r="E445" i="47"/>
  <c r="G446" i="49" s="1"/>
  <c r="E584" i="47"/>
  <c r="G585" i="49" s="1"/>
  <c r="E592" i="47"/>
  <c r="G593" i="49" s="1"/>
  <c r="E596" i="47"/>
  <c r="G597" i="49" s="1"/>
  <c r="E636" i="47"/>
  <c r="G637" i="49" s="1"/>
  <c r="E644" i="47"/>
  <c r="G645" i="49" s="1"/>
  <c r="E719" i="47"/>
  <c r="G720" i="49" s="1"/>
  <c r="E721" i="47"/>
  <c r="G722" i="49" s="1"/>
  <c r="E723" i="47"/>
  <c r="G724" i="49" s="1"/>
  <c r="E725" i="47"/>
  <c r="G726" i="49" s="1"/>
  <c r="E542" i="47"/>
  <c r="G543" i="49" s="1"/>
  <c r="E399" i="47"/>
  <c r="G400" i="49" s="1"/>
  <c r="E415" i="47"/>
  <c r="G416" i="49" s="1"/>
  <c r="E431" i="47"/>
  <c r="G432" i="49" s="1"/>
  <c r="E447" i="47"/>
  <c r="G448" i="49" s="1"/>
  <c r="E503" i="47"/>
  <c r="G504" i="49" s="1"/>
  <c r="E538" i="47"/>
  <c r="G539" i="49" s="1"/>
  <c r="E461" i="47"/>
  <c r="G462" i="49" s="1"/>
  <c r="E411" i="47"/>
  <c r="G412" i="49" s="1"/>
  <c r="E532" i="47"/>
  <c r="G533" i="49" s="1"/>
  <c r="E548" i="47"/>
  <c r="G549" i="49" s="1"/>
  <c r="E598" i="47"/>
  <c r="G599" i="49" s="1"/>
  <c r="E600" i="47"/>
  <c r="G601" i="49" s="1"/>
  <c r="E602" i="47"/>
  <c r="G603" i="49" s="1"/>
  <c r="E606" i="47"/>
  <c r="G607" i="49" s="1"/>
  <c r="E608" i="47"/>
  <c r="G609" i="49" s="1"/>
  <c r="E610" i="47"/>
  <c r="G611" i="49" s="1"/>
  <c r="E614" i="47"/>
  <c r="G615" i="49" s="1"/>
  <c r="E616" i="47"/>
  <c r="G617" i="49" s="1"/>
  <c r="E618" i="47"/>
  <c r="G619" i="49" s="1"/>
  <c r="E620" i="47"/>
  <c r="G621" i="49" s="1"/>
  <c r="E622" i="47"/>
  <c r="G623" i="49" s="1"/>
  <c r="E624" i="47"/>
  <c r="G625" i="49" s="1"/>
  <c r="E574" i="47"/>
  <c r="G575" i="49" s="1"/>
  <c r="E590" i="47"/>
  <c r="G591" i="49" s="1"/>
  <c r="E544" i="47"/>
  <c r="G545" i="49" s="1"/>
  <c r="E487" i="47"/>
  <c r="G488" i="49" s="1"/>
  <c r="E553" i="47"/>
  <c r="G554" i="49" s="1"/>
  <c r="E578" i="47"/>
  <c r="G579" i="49" s="1"/>
  <c r="E565" i="47"/>
  <c r="G566" i="49" s="1"/>
  <c r="E583" i="47"/>
  <c r="G584" i="49" s="1"/>
  <c r="E585" i="47"/>
  <c r="G586" i="49" s="1"/>
  <c r="E591" i="47"/>
  <c r="G592" i="49" s="1"/>
  <c r="E593" i="47"/>
  <c r="G594" i="49" s="1"/>
  <c r="E595" i="47"/>
  <c r="G596" i="49" s="1"/>
  <c r="E597" i="47"/>
  <c r="G598" i="49" s="1"/>
  <c r="E604" i="47"/>
  <c r="G605" i="49" s="1"/>
  <c r="E612" i="47"/>
  <c r="G613" i="49" s="1"/>
  <c r="E686" i="47"/>
  <c r="G687" i="49" s="1"/>
  <c r="E21" i="40" l="1"/>
  <c r="E20" i="40"/>
  <c r="E19" i="40"/>
  <c r="E16" i="40"/>
  <c r="F216" i="60" l="1"/>
  <c r="F581" i="60"/>
  <c r="H760" i="60" l="1"/>
  <c r="G760" i="60"/>
  <c r="G752" i="60"/>
  <c r="H752" i="60"/>
  <c r="H759" i="60"/>
  <c r="G759" i="60"/>
  <c r="H751" i="60"/>
  <c r="G751" i="60"/>
  <c r="G758" i="60"/>
  <c r="H758" i="60"/>
  <c r="G750" i="60"/>
  <c r="H750" i="60"/>
  <c r="G757" i="60"/>
  <c r="H757" i="60"/>
  <c r="G749" i="60"/>
  <c r="H749" i="60"/>
  <c r="G756" i="60"/>
  <c r="H756" i="60"/>
  <c r="G748" i="60"/>
  <c r="H748" i="60"/>
  <c r="H755" i="60"/>
  <c r="G755" i="60"/>
  <c r="G747" i="60"/>
  <c r="G754" i="60"/>
  <c r="H754" i="60"/>
  <c r="G746" i="60"/>
  <c r="G753" i="60"/>
  <c r="H753" i="60"/>
  <c r="G52" i="56"/>
  <c r="G470" i="60"/>
  <c r="G528" i="60"/>
  <c r="H600" i="60"/>
  <c r="H616" i="60"/>
  <c r="G618" i="60"/>
  <c r="H634" i="60"/>
  <c r="H641" i="60"/>
  <c r="H663" i="60"/>
  <c r="G687" i="60"/>
  <c r="H705" i="60"/>
  <c r="H707" i="60"/>
  <c r="G720" i="60"/>
  <c r="G721" i="60"/>
  <c r="H722" i="60"/>
  <c r="H724" i="60"/>
  <c r="G725" i="60"/>
  <c r="G731" i="60"/>
  <c r="H733" i="60"/>
  <c r="G740" i="60"/>
  <c r="H742" i="60"/>
  <c r="H744" i="60"/>
  <c r="A4" i="60"/>
  <c r="A5" i="60"/>
  <c r="A6" i="60"/>
  <c r="A7" i="60" s="1"/>
  <c r="A8" i="60" s="1"/>
  <c r="A9" i="60" s="1"/>
  <c r="A10" i="60" s="1"/>
  <c r="A11" i="60"/>
  <c r="A12" i="60" s="1"/>
  <c r="A13" i="60" s="1"/>
  <c r="A3" i="60"/>
  <c r="G713" i="60" l="1"/>
  <c r="H713" i="60"/>
  <c r="G673" i="60"/>
  <c r="H673" i="60"/>
  <c r="G717" i="60"/>
  <c r="G701" i="60"/>
  <c r="H701" i="60"/>
  <c r="G685" i="60"/>
  <c r="G677" i="60"/>
  <c r="H677" i="60"/>
  <c r="G669" i="60"/>
  <c r="H669" i="60"/>
  <c r="G661" i="60"/>
  <c r="G653" i="60"/>
  <c r="H653" i="60"/>
  <c r="G629" i="60"/>
  <c r="H629" i="60"/>
  <c r="G605" i="60"/>
  <c r="H605" i="60"/>
  <c r="G581" i="60"/>
  <c r="H581" i="60"/>
  <c r="H700" i="60"/>
  <c r="G692" i="60"/>
  <c r="H692" i="60"/>
  <c r="H684" i="60"/>
  <c r="G684" i="60"/>
  <c r="G676" i="60"/>
  <c r="G668" i="60"/>
  <c r="H668" i="60"/>
  <c r="G660" i="60"/>
  <c r="H660" i="60"/>
  <c r="H652" i="60"/>
  <c r="G644" i="60"/>
  <c r="H644" i="60"/>
  <c r="H636" i="60"/>
  <c r="G628" i="60"/>
  <c r="H628" i="60"/>
  <c r="G620" i="60"/>
  <c r="H620" i="60"/>
  <c r="G612" i="60"/>
  <c r="H612" i="60"/>
  <c r="G604" i="60"/>
  <c r="H604" i="60"/>
  <c r="H596" i="60"/>
  <c r="G596" i="60"/>
  <c r="G588" i="60"/>
  <c r="H588" i="60"/>
  <c r="H580" i="60"/>
  <c r="G580" i="60"/>
  <c r="G572" i="60"/>
  <c r="H572" i="60"/>
  <c r="G564" i="60"/>
  <c r="H564" i="60"/>
  <c r="G556" i="60"/>
  <c r="H556" i="60"/>
  <c r="G548" i="60"/>
  <c r="H548" i="60"/>
  <c r="G540" i="60"/>
  <c r="H540" i="60"/>
  <c r="G532" i="60"/>
  <c r="H532" i="60"/>
  <c r="G524" i="60"/>
  <c r="H524" i="60"/>
  <c r="G516" i="60"/>
  <c r="H516" i="60"/>
  <c r="G508" i="60"/>
  <c r="H508" i="60"/>
  <c r="G500" i="60"/>
  <c r="H500" i="60"/>
  <c r="G492" i="60"/>
  <c r="H492" i="60"/>
  <c r="G484" i="60"/>
  <c r="H484" i="60"/>
  <c r="G476" i="60"/>
  <c r="H476" i="60"/>
  <c r="G468" i="60"/>
  <c r="H468" i="60"/>
  <c r="G460" i="60"/>
  <c r="H460" i="60"/>
  <c r="G452" i="60"/>
  <c r="H452" i="60"/>
  <c r="H444" i="60"/>
  <c r="G444" i="60"/>
  <c r="G436" i="60"/>
  <c r="H436" i="60"/>
  <c r="G428" i="60"/>
  <c r="H428" i="60"/>
  <c r="G420" i="60"/>
  <c r="H420" i="60"/>
  <c r="H412" i="60"/>
  <c r="G412" i="60"/>
  <c r="G404" i="60"/>
  <c r="H404" i="60"/>
  <c r="G396" i="60"/>
  <c r="H396" i="60"/>
  <c r="G388" i="60"/>
  <c r="H388" i="60"/>
  <c r="G380" i="60"/>
  <c r="H380" i="60"/>
  <c r="G372" i="60"/>
  <c r="H372" i="60"/>
  <c r="G364" i="60"/>
  <c r="H364" i="60"/>
  <c r="G356" i="60"/>
  <c r="H356" i="60"/>
  <c r="G348" i="60"/>
  <c r="H348" i="60"/>
  <c r="G340" i="60"/>
  <c r="H340" i="60"/>
  <c r="G332" i="60"/>
  <c r="H332" i="60"/>
  <c r="H324" i="60"/>
  <c r="G324" i="60"/>
  <c r="G316" i="60"/>
  <c r="H316" i="60"/>
  <c r="G308" i="60"/>
  <c r="H308" i="60"/>
  <c r="H300" i="60"/>
  <c r="G300" i="60"/>
  <c r="H292" i="60"/>
  <c r="G292" i="60"/>
  <c r="G284" i="60"/>
  <c r="H284" i="60"/>
  <c r="G276" i="60"/>
  <c r="H276" i="60"/>
  <c r="G268" i="60"/>
  <c r="H268" i="60"/>
  <c r="H260" i="60"/>
  <c r="G260" i="60"/>
  <c r="H252" i="60"/>
  <c r="G252" i="60"/>
  <c r="G244" i="60"/>
  <c r="H244" i="60"/>
  <c r="G236" i="60"/>
  <c r="H236" i="60"/>
  <c r="H228" i="60"/>
  <c r="G228" i="60"/>
  <c r="H220" i="60"/>
  <c r="G220" i="60"/>
  <c r="H212" i="60"/>
  <c r="G212" i="60"/>
  <c r="G204" i="60"/>
  <c r="H204" i="60"/>
  <c r="H196" i="60"/>
  <c r="G196" i="60"/>
  <c r="G188" i="60"/>
  <c r="H188" i="60"/>
  <c r="G180" i="60"/>
  <c r="H180" i="60"/>
  <c r="G172" i="60"/>
  <c r="H172" i="60"/>
  <c r="G164" i="60"/>
  <c r="H164" i="60"/>
  <c r="H156" i="60"/>
  <c r="G156" i="60"/>
  <c r="G148" i="60"/>
  <c r="H148" i="60"/>
  <c r="G140" i="60"/>
  <c r="H140" i="60"/>
  <c r="H132" i="60"/>
  <c r="G132" i="60"/>
  <c r="G124" i="60"/>
  <c r="H124" i="60"/>
  <c r="G116" i="60"/>
  <c r="H116" i="60"/>
  <c r="G108" i="60"/>
  <c r="H108" i="60"/>
  <c r="G100" i="60"/>
  <c r="H100" i="60"/>
  <c r="G92" i="60"/>
  <c r="H92" i="60"/>
  <c r="G84" i="60"/>
  <c r="H84" i="60"/>
  <c r="H76" i="60"/>
  <c r="G76" i="60"/>
  <c r="G68" i="60"/>
  <c r="H68" i="60"/>
  <c r="G60" i="60"/>
  <c r="H60" i="60"/>
  <c r="G52" i="60"/>
  <c r="H52" i="60"/>
  <c r="H44" i="60"/>
  <c r="G44" i="60"/>
  <c r="G36" i="60"/>
  <c r="H36" i="60"/>
  <c r="H28" i="60"/>
  <c r="G28" i="60"/>
  <c r="G20" i="60"/>
  <c r="H20" i="60"/>
  <c r="G12" i="60"/>
  <c r="H12" i="60"/>
  <c r="G4" i="60"/>
  <c r="H4" i="60"/>
  <c r="E757" i="60"/>
  <c r="E755" i="60"/>
  <c r="G745" i="60"/>
  <c r="G742" i="60"/>
  <c r="H718" i="60"/>
  <c r="G637" i="60"/>
  <c r="H637" i="60"/>
  <c r="G613" i="60"/>
  <c r="H613" i="60"/>
  <c r="G597" i="60"/>
  <c r="G732" i="60"/>
  <c r="H716" i="60"/>
  <c r="G716" i="60"/>
  <c r="G708" i="60"/>
  <c r="H708" i="60"/>
  <c r="G739" i="60"/>
  <c r="H739" i="60"/>
  <c r="H715" i="60"/>
  <c r="G715" i="60"/>
  <c r="G707" i="60"/>
  <c r="G699" i="60"/>
  <c r="H699" i="60"/>
  <c r="G691" i="60"/>
  <c r="H691" i="60"/>
  <c r="G683" i="60"/>
  <c r="H683" i="60"/>
  <c r="G675" i="60"/>
  <c r="H675" i="60"/>
  <c r="H667" i="60"/>
  <c r="G659" i="60"/>
  <c r="H659" i="60"/>
  <c r="G651" i="60"/>
  <c r="H651" i="60"/>
  <c r="G643" i="60"/>
  <c r="G635" i="60"/>
  <c r="H635" i="60"/>
  <c r="H627" i="60"/>
  <c r="G627" i="60"/>
  <c r="G619" i="60"/>
  <c r="H619" i="60"/>
  <c r="H611" i="60"/>
  <c r="G603" i="60"/>
  <c r="H603" i="60"/>
  <c r="H595" i="60"/>
  <c r="G587" i="60"/>
  <c r="H587" i="60"/>
  <c r="G579" i="60"/>
  <c r="H579" i="60"/>
  <c r="G571" i="60"/>
  <c r="H563" i="60"/>
  <c r="G563" i="60"/>
  <c r="H555" i="60"/>
  <c r="G555" i="60"/>
  <c r="G547" i="60"/>
  <c r="H547" i="60"/>
  <c r="H539" i="60"/>
  <c r="G539" i="60"/>
  <c r="G531" i="60"/>
  <c r="H531" i="60"/>
  <c r="G523" i="60"/>
  <c r="H523" i="60"/>
  <c r="G515" i="60"/>
  <c r="H515" i="60"/>
  <c r="G507" i="60"/>
  <c r="H507" i="60"/>
  <c r="G499" i="60"/>
  <c r="H499" i="60"/>
  <c r="G491" i="60"/>
  <c r="H491" i="60"/>
  <c r="H483" i="60"/>
  <c r="G483" i="60"/>
  <c r="G475" i="60"/>
  <c r="H475" i="60"/>
  <c r="G467" i="60"/>
  <c r="H467" i="60"/>
  <c r="G459" i="60"/>
  <c r="H459" i="60"/>
  <c r="G451" i="60"/>
  <c r="H451" i="60"/>
  <c r="G443" i="60"/>
  <c r="H443" i="60"/>
  <c r="G435" i="60"/>
  <c r="H435" i="60"/>
  <c r="G427" i="60"/>
  <c r="H427" i="60"/>
  <c r="G419" i="60"/>
  <c r="H419" i="60"/>
  <c r="G411" i="60"/>
  <c r="H411" i="60"/>
  <c r="G403" i="60"/>
  <c r="H403" i="60"/>
  <c r="G395" i="60"/>
  <c r="H395" i="60"/>
  <c r="G387" i="60"/>
  <c r="H387" i="60"/>
  <c r="G379" i="60"/>
  <c r="H379" i="60"/>
  <c r="G371" i="60"/>
  <c r="H371" i="60"/>
  <c r="G363" i="60"/>
  <c r="H363" i="60"/>
  <c r="G355" i="60"/>
  <c r="H355" i="60"/>
  <c r="G347" i="60"/>
  <c r="H347" i="60"/>
  <c r="H339" i="60"/>
  <c r="G339" i="60"/>
  <c r="G331" i="60"/>
  <c r="H331" i="60"/>
  <c r="G323" i="60"/>
  <c r="H323" i="60"/>
  <c r="G315" i="60"/>
  <c r="H315" i="60"/>
  <c r="G307" i="60"/>
  <c r="H307" i="60"/>
  <c r="G299" i="60"/>
  <c r="H299" i="60"/>
  <c r="G291" i="60"/>
  <c r="H291" i="60"/>
  <c r="G283" i="60"/>
  <c r="H283" i="60"/>
  <c r="G275" i="60"/>
  <c r="H275" i="60"/>
  <c r="H267" i="60"/>
  <c r="G267" i="60"/>
  <c r="H259" i="60"/>
  <c r="G259" i="60"/>
  <c r="G251" i="60"/>
  <c r="H251" i="60"/>
  <c r="G243" i="60"/>
  <c r="H243" i="60"/>
  <c r="H235" i="60"/>
  <c r="G235" i="60"/>
  <c r="G227" i="60"/>
  <c r="H227" i="60"/>
  <c r="G219" i="60"/>
  <c r="H219" i="60"/>
  <c r="H211" i="60"/>
  <c r="G211" i="60"/>
  <c r="G203" i="60"/>
  <c r="H203" i="60"/>
  <c r="H195" i="60"/>
  <c r="G195" i="60"/>
  <c r="G187" i="60"/>
  <c r="H187" i="60"/>
  <c r="H179" i="60"/>
  <c r="G179" i="60"/>
  <c r="G171" i="60"/>
  <c r="H171" i="60"/>
  <c r="H163" i="60"/>
  <c r="G163" i="60"/>
  <c r="H155" i="60"/>
  <c r="G155" i="60"/>
  <c r="G147" i="60"/>
  <c r="H147" i="60"/>
  <c r="H139" i="60"/>
  <c r="G139" i="60"/>
  <c r="G131" i="60"/>
  <c r="H131" i="60"/>
  <c r="G123" i="60"/>
  <c r="H123" i="60"/>
  <c r="G115" i="60"/>
  <c r="H115" i="60"/>
  <c r="H107" i="60"/>
  <c r="G107" i="60"/>
  <c r="H99" i="60"/>
  <c r="G99" i="60"/>
  <c r="G91" i="60"/>
  <c r="H91" i="60"/>
  <c r="G83" i="60"/>
  <c r="H83" i="60"/>
  <c r="G75" i="60"/>
  <c r="H75" i="60"/>
  <c r="G67" i="60"/>
  <c r="H67" i="60"/>
  <c r="G59" i="60"/>
  <c r="H59" i="60"/>
  <c r="G51" i="60"/>
  <c r="H51" i="60"/>
  <c r="G43" i="60"/>
  <c r="H43" i="60"/>
  <c r="H35" i="60"/>
  <c r="G35" i="60"/>
  <c r="G27" i="60"/>
  <c r="H27" i="60"/>
  <c r="G19" i="60"/>
  <c r="H19" i="60"/>
  <c r="G11" i="60"/>
  <c r="H11" i="60"/>
  <c r="H736" i="60"/>
  <c r="G733" i="60"/>
  <c r="H727" i="60"/>
  <c r="H676" i="60"/>
  <c r="H661" i="60"/>
  <c r="G697" i="60"/>
  <c r="H697" i="60"/>
  <c r="G741" i="60"/>
  <c r="H709" i="60"/>
  <c r="G693" i="60"/>
  <c r="H693" i="60"/>
  <c r="E693" i="60"/>
  <c r="G645" i="60"/>
  <c r="H645" i="60"/>
  <c r="G621" i="60"/>
  <c r="H621" i="60"/>
  <c r="G589" i="60"/>
  <c r="H589" i="60"/>
  <c r="G730" i="60"/>
  <c r="G714" i="60"/>
  <c r="H714" i="60"/>
  <c r="G706" i="60"/>
  <c r="H706" i="60"/>
  <c r="H698" i="60"/>
  <c r="G690" i="60"/>
  <c r="H690" i="60"/>
  <c r="G682" i="60"/>
  <c r="H682" i="60"/>
  <c r="G674" i="60"/>
  <c r="G666" i="60"/>
  <c r="H666" i="60"/>
  <c r="H658" i="60"/>
  <c r="G658" i="60"/>
  <c r="G650" i="60"/>
  <c r="G642" i="60"/>
  <c r="H642" i="60"/>
  <c r="G634" i="60"/>
  <c r="H626" i="60"/>
  <c r="G626" i="60"/>
  <c r="H618" i="60"/>
  <c r="G610" i="60"/>
  <c r="H610" i="60"/>
  <c r="H602" i="60"/>
  <c r="H594" i="60"/>
  <c r="G594" i="60"/>
  <c r="G586" i="60"/>
  <c r="H586" i="60"/>
  <c r="G578" i="60"/>
  <c r="H578" i="60"/>
  <c r="G570" i="60"/>
  <c r="H570" i="60"/>
  <c r="H562" i="60"/>
  <c r="G562" i="60"/>
  <c r="G554" i="60"/>
  <c r="H554" i="60"/>
  <c r="H546" i="60"/>
  <c r="G546" i="60"/>
  <c r="G538" i="60"/>
  <c r="H538" i="60"/>
  <c r="G530" i="60"/>
  <c r="H530" i="60"/>
  <c r="G522" i="60"/>
  <c r="H522" i="60"/>
  <c r="G514" i="60"/>
  <c r="H514" i="60"/>
  <c r="G506" i="60"/>
  <c r="H506" i="60"/>
  <c r="G498" i="60"/>
  <c r="H498" i="60"/>
  <c r="G490" i="60"/>
  <c r="H490" i="60"/>
  <c r="G482" i="60"/>
  <c r="H482" i="60"/>
  <c r="G474" i="60"/>
  <c r="H474" i="60"/>
  <c r="G466" i="60"/>
  <c r="H466" i="60"/>
  <c r="G458" i="60"/>
  <c r="H458" i="60"/>
  <c r="G450" i="60"/>
  <c r="H450" i="60"/>
  <c r="H442" i="60"/>
  <c r="G442" i="60"/>
  <c r="G434" i="60"/>
  <c r="H434" i="60"/>
  <c r="G426" i="60"/>
  <c r="H426" i="60"/>
  <c r="G418" i="60"/>
  <c r="H418" i="60"/>
  <c r="H410" i="60"/>
  <c r="G410" i="60"/>
  <c r="G402" i="60"/>
  <c r="H402" i="60"/>
  <c r="G394" i="60"/>
  <c r="H394" i="60"/>
  <c r="G386" i="60"/>
  <c r="H386" i="60"/>
  <c r="G378" i="60"/>
  <c r="H378" i="60"/>
  <c r="G370" i="60"/>
  <c r="H370" i="60"/>
  <c r="G362" i="60"/>
  <c r="H362" i="60"/>
  <c r="G354" i="60"/>
  <c r="H354" i="60"/>
  <c r="G346" i="60"/>
  <c r="H346" i="60"/>
  <c r="G338" i="60"/>
  <c r="H338" i="60"/>
  <c r="H330" i="60"/>
  <c r="G330" i="60"/>
  <c r="H322" i="60"/>
  <c r="G322" i="60"/>
  <c r="G314" i="60"/>
  <c r="H314" i="60"/>
  <c r="G306" i="60"/>
  <c r="H306" i="60"/>
  <c r="G298" i="60"/>
  <c r="H298" i="60"/>
  <c r="H290" i="60"/>
  <c r="G290" i="60"/>
  <c r="G282" i="60"/>
  <c r="H282" i="60"/>
  <c r="G274" i="60"/>
  <c r="H274" i="60"/>
  <c r="G266" i="60"/>
  <c r="H266" i="60"/>
  <c r="G258" i="60"/>
  <c r="H258" i="60"/>
  <c r="G250" i="60"/>
  <c r="H250" i="60"/>
  <c r="G242" i="60"/>
  <c r="H242" i="60"/>
  <c r="G234" i="60"/>
  <c r="H234" i="60"/>
  <c r="G226" i="60"/>
  <c r="H226" i="60"/>
  <c r="G218" i="60"/>
  <c r="H218" i="60"/>
  <c r="G210" i="60"/>
  <c r="H210" i="60"/>
  <c r="G202" i="60"/>
  <c r="H202" i="60"/>
  <c r="G194" i="60"/>
  <c r="H194" i="60"/>
  <c r="G186" i="60"/>
  <c r="H186" i="60"/>
  <c r="G178" i="60"/>
  <c r="H178" i="60"/>
  <c r="G170" i="60"/>
  <c r="H170" i="60"/>
  <c r="G162" i="60"/>
  <c r="H162" i="60"/>
  <c r="G154" i="60"/>
  <c r="H154" i="60"/>
  <c r="G146" i="60"/>
  <c r="H146" i="60"/>
  <c r="H138" i="60"/>
  <c r="G138" i="60"/>
  <c r="G130" i="60"/>
  <c r="H130" i="60"/>
  <c r="G122" i="60"/>
  <c r="H122" i="60"/>
  <c r="G114" i="60"/>
  <c r="H114" i="60"/>
  <c r="H106" i="60"/>
  <c r="G106" i="60"/>
  <c r="G98" i="60"/>
  <c r="H98" i="60"/>
  <c r="H90" i="60"/>
  <c r="G90" i="60"/>
  <c r="H82" i="60"/>
  <c r="G82" i="60"/>
  <c r="G74" i="60"/>
  <c r="H74" i="60"/>
  <c r="G66" i="60"/>
  <c r="H66" i="60"/>
  <c r="G58" i="60"/>
  <c r="H58" i="60"/>
  <c r="G50" i="60"/>
  <c r="H50" i="60"/>
  <c r="G42" i="60"/>
  <c r="H42" i="60"/>
  <c r="G34" i="60"/>
  <c r="H34" i="60"/>
  <c r="H26" i="60"/>
  <c r="G26" i="60"/>
  <c r="G18" i="60"/>
  <c r="H18" i="60"/>
  <c r="G10" i="60"/>
  <c r="H10" i="60"/>
  <c r="H3" i="60"/>
  <c r="E745" i="60"/>
  <c r="G736" i="60"/>
  <c r="H730" i="60"/>
  <c r="G727" i="60"/>
  <c r="G724" i="60"/>
  <c r="H721" i="60"/>
  <c r="H674" i="60"/>
  <c r="G602" i="60"/>
  <c r="G513" i="60"/>
  <c r="H513" i="60"/>
  <c r="G505" i="60"/>
  <c r="H505" i="60"/>
  <c r="G497" i="60"/>
  <c r="H497" i="60"/>
  <c r="G489" i="60"/>
  <c r="H489" i="60"/>
  <c r="H481" i="60"/>
  <c r="G481" i="60"/>
  <c r="H473" i="60"/>
  <c r="G473" i="60"/>
  <c r="G465" i="60"/>
  <c r="H465" i="60"/>
  <c r="G457" i="60"/>
  <c r="H457" i="60"/>
  <c r="G449" i="60"/>
  <c r="H449" i="60"/>
  <c r="G441" i="60"/>
  <c r="H441" i="60"/>
  <c r="G433" i="60"/>
  <c r="H433" i="60"/>
  <c r="G425" i="60"/>
  <c r="H425" i="60"/>
  <c r="G417" i="60"/>
  <c r="H417" i="60"/>
  <c r="G409" i="60"/>
  <c r="H409" i="60"/>
  <c r="G401" i="60"/>
  <c r="H401" i="60"/>
  <c r="G393" i="60"/>
  <c r="H393" i="60"/>
  <c r="G385" i="60"/>
  <c r="H385" i="60"/>
  <c r="G377" i="60"/>
  <c r="H377" i="60"/>
  <c r="G369" i="60"/>
  <c r="H369" i="60"/>
  <c r="G361" i="60"/>
  <c r="H361" i="60"/>
  <c r="H353" i="60"/>
  <c r="G353" i="60"/>
  <c r="G345" i="60"/>
  <c r="H345" i="60"/>
  <c r="G337" i="60"/>
  <c r="H337" i="60"/>
  <c r="G329" i="60"/>
  <c r="H329" i="60"/>
  <c r="H321" i="60"/>
  <c r="G321" i="60"/>
  <c r="G313" i="60"/>
  <c r="H313" i="60"/>
  <c r="G305" i="60"/>
  <c r="H305" i="60"/>
  <c r="G297" i="60"/>
  <c r="H297" i="60"/>
  <c r="H289" i="60"/>
  <c r="G289" i="60"/>
  <c r="G281" i="60"/>
  <c r="H281" i="60"/>
  <c r="G273" i="60"/>
  <c r="H273" i="60"/>
  <c r="G265" i="60"/>
  <c r="H265" i="60"/>
  <c r="G257" i="60"/>
  <c r="H257" i="60"/>
  <c r="G249" i="60"/>
  <c r="H249" i="60"/>
  <c r="G241" i="60"/>
  <c r="H241" i="60"/>
  <c r="G233" i="60"/>
  <c r="H233" i="60"/>
  <c r="G225" i="60"/>
  <c r="H225" i="60"/>
  <c r="G217" i="60"/>
  <c r="H217" i="60"/>
  <c r="G209" i="60"/>
  <c r="H209" i="60"/>
  <c r="G201" i="60"/>
  <c r="H201" i="60"/>
  <c r="G193" i="60"/>
  <c r="H193" i="60"/>
  <c r="H185" i="60"/>
  <c r="G185" i="60"/>
  <c r="G177" i="60"/>
  <c r="H177" i="60"/>
  <c r="H169" i="60"/>
  <c r="G169" i="60"/>
  <c r="G161" i="60"/>
  <c r="H161" i="60"/>
  <c r="G153" i="60"/>
  <c r="H153" i="60"/>
  <c r="H145" i="60"/>
  <c r="G145" i="60"/>
  <c r="H137" i="60"/>
  <c r="G137" i="60"/>
  <c r="G129" i="60"/>
  <c r="H129" i="60"/>
  <c r="H121" i="60"/>
  <c r="G121" i="60"/>
  <c r="G113" i="60"/>
  <c r="H113" i="60"/>
  <c r="H105" i="60"/>
  <c r="G105" i="60"/>
  <c r="G97" i="60"/>
  <c r="H97" i="60"/>
  <c r="H89" i="60"/>
  <c r="G89" i="60"/>
  <c r="G81" i="60"/>
  <c r="H81" i="60"/>
  <c r="G73" i="60"/>
  <c r="H73" i="60"/>
  <c r="G65" i="60"/>
  <c r="H65" i="60"/>
  <c r="G57" i="60"/>
  <c r="H57" i="60"/>
  <c r="G49" i="60"/>
  <c r="H49" i="60"/>
  <c r="G41" i="60"/>
  <c r="H41" i="60"/>
  <c r="G33" i="60"/>
  <c r="H33" i="60"/>
  <c r="G25" i="60"/>
  <c r="H25" i="60"/>
  <c r="G17" i="60"/>
  <c r="H17" i="60"/>
  <c r="G9" i="60"/>
  <c r="H9" i="60"/>
  <c r="G3" i="60"/>
  <c r="E756" i="60"/>
  <c r="E754" i="60"/>
  <c r="G744" i="60"/>
  <c r="H738" i="60"/>
  <c r="E736" i="60"/>
  <c r="H729" i="60"/>
  <c r="E727" i="60"/>
  <c r="H717" i="60"/>
  <c r="E673" i="60"/>
  <c r="H643" i="60"/>
  <c r="E728" i="60"/>
  <c r="G728" i="60"/>
  <c r="H728" i="60"/>
  <c r="G712" i="60"/>
  <c r="H712" i="60"/>
  <c r="E704" i="60"/>
  <c r="G704" i="60"/>
  <c r="H704" i="60"/>
  <c r="G696" i="60"/>
  <c r="H688" i="60"/>
  <c r="G688" i="60"/>
  <c r="G680" i="60"/>
  <c r="H680" i="60"/>
  <c r="G672" i="60"/>
  <c r="H672" i="60"/>
  <c r="G664" i="60"/>
  <c r="H664" i="60"/>
  <c r="G656" i="60"/>
  <c r="G648" i="60"/>
  <c r="H648" i="60"/>
  <c r="G640" i="60"/>
  <c r="H640" i="60"/>
  <c r="G632" i="60"/>
  <c r="H632" i="60"/>
  <c r="H624" i="60"/>
  <c r="G624" i="60"/>
  <c r="G616" i="60"/>
  <c r="G608" i="60"/>
  <c r="H608" i="60"/>
  <c r="G600" i="60"/>
  <c r="E592" i="60"/>
  <c r="G592" i="60"/>
  <c r="H592" i="60"/>
  <c r="G584" i="60"/>
  <c r="H584" i="60"/>
  <c r="E584" i="60"/>
  <c r="G576" i="60"/>
  <c r="H576" i="60"/>
  <c r="G568" i="60"/>
  <c r="H568" i="60"/>
  <c r="G560" i="60"/>
  <c r="H560" i="60"/>
  <c r="G552" i="60"/>
  <c r="H552" i="60"/>
  <c r="G544" i="60"/>
  <c r="H544" i="60"/>
  <c r="G536" i="60"/>
  <c r="H536" i="60"/>
  <c r="H528" i="60"/>
  <c r="G520" i="60"/>
  <c r="H520" i="60"/>
  <c r="H512" i="60"/>
  <c r="G512" i="60"/>
  <c r="H504" i="60"/>
  <c r="G504" i="60"/>
  <c r="G496" i="60"/>
  <c r="H496" i="60"/>
  <c r="G488" i="60"/>
  <c r="H488" i="60"/>
  <c r="G480" i="60"/>
  <c r="H480" i="60"/>
  <c r="G472" i="60"/>
  <c r="H472" i="60"/>
  <c r="G464" i="60"/>
  <c r="H464" i="60"/>
  <c r="G456" i="60"/>
  <c r="H456" i="60"/>
  <c r="G448" i="60"/>
  <c r="H448" i="60"/>
  <c r="H440" i="60"/>
  <c r="G440" i="60"/>
  <c r="H432" i="60"/>
  <c r="G432" i="60"/>
  <c r="G424" i="60"/>
  <c r="H424" i="60"/>
  <c r="H416" i="60"/>
  <c r="G416" i="60"/>
  <c r="G408" i="60"/>
  <c r="H408" i="60"/>
  <c r="H400" i="60"/>
  <c r="G400" i="60"/>
  <c r="G392" i="60"/>
  <c r="H392" i="60"/>
  <c r="H384" i="60"/>
  <c r="G384" i="60"/>
  <c r="G376" i="60"/>
  <c r="H376" i="60"/>
  <c r="G368" i="60"/>
  <c r="H368" i="60"/>
  <c r="G360" i="60"/>
  <c r="H360" i="60"/>
  <c r="G352" i="60"/>
  <c r="H352" i="60"/>
  <c r="G344" i="60"/>
  <c r="H344" i="60"/>
  <c r="G336" i="60"/>
  <c r="H336" i="60"/>
  <c r="G328" i="60"/>
  <c r="H328" i="60"/>
  <c r="H320" i="60"/>
  <c r="G320" i="60"/>
  <c r="G312" i="60"/>
  <c r="H312" i="60"/>
  <c r="G304" i="60"/>
  <c r="H304" i="60"/>
  <c r="H296" i="60"/>
  <c r="G296" i="60"/>
  <c r="G288" i="60"/>
  <c r="H288" i="60"/>
  <c r="H280" i="60"/>
  <c r="G280" i="60"/>
  <c r="G272" i="60"/>
  <c r="H272" i="60"/>
  <c r="G264" i="60"/>
  <c r="H264" i="60"/>
  <c r="G256" i="60"/>
  <c r="H256" i="60"/>
  <c r="G248" i="60"/>
  <c r="H248" i="60"/>
  <c r="G240" i="60"/>
  <c r="H240" i="60"/>
  <c r="G232" i="60"/>
  <c r="H232" i="60"/>
  <c r="G224" i="60"/>
  <c r="H224" i="60"/>
  <c r="G216" i="60"/>
  <c r="H216" i="60"/>
  <c r="G208" i="60"/>
  <c r="H208" i="60"/>
  <c r="G200" i="60"/>
  <c r="H200" i="60"/>
  <c r="G192" i="60"/>
  <c r="H192" i="60"/>
  <c r="G184" i="60"/>
  <c r="H184" i="60"/>
  <c r="G176" i="60"/>
  <c r="H176" i="60"/>
  <c r="H168" i="60"/>
  <c r="G168" i="60"/>
  <c r="G160" i="60"/>
  <c r="H160" i="60"/>
  <c r="G152" i="60"/>
  <c r="H152" i="60"/>
  <c r="G144" i="60"/>
  <c r="H144" i="60"/>
  <c r="G136" i="60"/>
  <c r="H136" i="60"/>
  <c r="G128" i="60"/>
  <c r="H128" i="60"/>
  <c r="G120" i="60"/>
  <c r="H120" i="60"/>
  <c r="G112" i="60"/>
  <c r="H112" i="60"/>
  <c r="G104" i="60"/>
  <c r="H104" i="60"/>
  <c r="G96" i="60"/>
  <c r="H96" i="60"/>
  <c r="G88" i="60"/>
  <c r="H88" i="60"/>
  <c r="G80" i="60"/>
  <c r="H80" i="60"/>
  <c r="G72" i="60"/>
  <c r="H72" i="60"/>
  <c r="H64" i="60"/>
  <c r="G64" i="60"/>
  <c r="G56" i="60"/>
  <c r="H56" i="60"/>
  <c r="G48" i="60"/>
  <c r="H48" i="60"/>
  <c r="G40" i="60"/>
  <c r="H40" i="60"/>
  <c r="G32" i="60"/>
  <c r="H32" i="60"/>
  <c r="H24" i="60"/>
  <c r="G24" i="60"/>
  <c r="H16" i="60"/>
  <c r="G16" i="60"/>
  <c r="G8" i="60"/>
  <c r="H8" i="60"/>
  <c r="E3" i="60"/>
  <c r="E752" i="60"/>
  <c r="H741" i="60"/>
  <c r="G738" i="60"/>
  <c r="G729" i="60"/>
  <c r="H720" i="60"/>
  <c r="G700" i="60"/>
  <c r="H685" i="60"/>
  <c r="H656" i="60"/>
  <c r="G681" i="60"/>
  <c r="H681" i="60"/>
  <c r="H657" i="60"/>
  <c r="G657" i="60"/>
  <c r="G641" i="60"/>
  <c r="H625" i="60"/>
  <c r="H609" i="60"/>
  <c r="G585" i="60"/>
  <c r="H585" i="60"/>
  <c r="G569" i="60"/>
  <c r="H569" i="60"/>
  <c r="H553" i="60"/>
  <c r="G553" i="60"/>
  <c r="H537" i="60"/>
  <c r="G537" i="60"/>
  <c r="G521" i="60"/>
  <c r="H521" i="60"/>
  <c r="G735" i="60"/>
  <c r="H735" i="60"/>
  <c r="G719" i="60"/>
  <c r="G711" i="60"/>
  <c r="H711" i="60"/>
  <c r="G703" i="60"/>
  <c r="H703" i="60"/>
  <c r="G695" i="60"/>
  <c r="H695" i="60"/>
  <c r="H687" i="60"/>
  <c r="G679" i="60"/>
  <c r="H679" i="60"/>
  <c r="E671" i="60"/>
  <c r="G671" i="60"/>
  <c r="H671" i="60"/>
  <c r="G663" i="60"/>
  <c r="H655" i="60"/>
  <c r="G655" i="60"/>
  <c r="G647" i="60"/>
  <c r="H647" i="60"/>
  <c r="E647" i="60"/>
  <c r="G639" i="60"/>
  <c r="H639" i="60"/>
  <c r="G631" i="60"/>
  <c r="H631" i="60"/>
  <c r="E631" i="60"/>
  <c r="H623" i="60"/>
  <c r="G623" i="60"/>
  <c r="E615" i="60"/>
  <c r="G615" i="60"/>
  <c r="H615" i="60"/>
  <c r="G607" i="60"/>
  <c r="H607" i="60"/>
  <c r="E599" i="60"/>
  <c r="G599" i="60"/>
  <c r="H599" i="60"/>
  <c r="G591" i="60"/>
  <c r="H591" i="60"/>
  <c r="G583" i="60"/>
  <c r="H583" i="60"/>
  <c r="G575" i="60"/>
  <c r="H575" i="60"/>
  <c r="G567" i="60"/>
  <c r="H567" i="60"/>
  <c r="G559" i="60"/>
  <c r="H559" i="60"/>
  <c r="G551" i="60"/>
  <c r="H551" i="60"/>
  <c r="E543" i="60"/>
  <c r="G543" i="60"/>
  <c r="H543" i="60"/>
  <c r="H535" i="60"/>
  <c r="G535" i="60"/>
  <c r="G527" i="60"/>
  <c r="H527" i="60"/>
  <c r="G519" i="60"/>
  <c r="H519" i="60"/>
  <c r="G511" i="60"/>
  <c r="H511" i="60"/>
  <c r="H503" i="60"/>
  <c r="G503" i="60"/>
  <c r="G495" i="60"/>
  <c r="H495" i="60"/>
  <c r="G487" i="60"/>
  <c r="H487" i="60"/>
  <c r="G479" i="60"/>
  <c r="H479" i="60"/>
  <c r="H471" i="60"/>
  <c r="G471" i="60"/>
  <c r="H463" i="60"/>
  <c r="G463" i="60"/>
  <c r="G455" i="60"/>
  <c r="H455" i="60"/>
  <c r="G447" i="60"/>
  <c r="H447" i="60"/>
  <c r="G439" i="60"/>
  <c r="H439" i="60"/>
  <c r="G431" i="60"/>
  <c r="H431" i="60"/>
  <c r="G423" i="60"/>
  <c r="H423" i="60"/>
  <c r="G415" i="60"/>
  <c r="H415" i="60"/>
  <c r="G407" i="60"/>
  <c r="H407" i="60"/>
  <c r="G399" i="60"/>
  <c r="H399" i="60"/>
  <c r="G391" i="60"/>
  <c r="H391" i="60"/>
  <c r="G383" i="60"/>
  <c r="H383" i="60"/>
  <c r="H375" i="60"/>
  <c r="G375" i="60"/>
  <c r="G367" i="60"/>
  <c r="H367" i="60"/>
  <c r="H359" i="60"/>
  <c r="G359" i="60"/>
  <c r="H351" i="60"/>
  <c r="G351" i="60"/>
  <c r="G343" i="60"/>
  <c r="H343" i="60"/>
  <c r="G335" i="60"/>
  <c r="H335" i="60"/>
  <c r="G327" i="60"/>
  <c r="H327" i="60"/>
  <c r="H319" i="60"/>
  <c r="G319" i="60"/>
  <c r="H311" i="60"/>
  <c r="G311" i="60"/>
  <c r="G303" i="60"/>
  <c r="H303" i="60"/>
  <c r="G295" i="60"/>
  <c r="H295" i="60"/>
  <c r="G287" i="60"/>
  <c r="H287" i="60"/>
  <c r="G279" i="60"/>
  <c r="H279" i="60"/>
  <c r="G271" i="60"/>
  <c r="H271" i="60"/>
  <c r="G263" i="60"/>
  <c r="H263" i="60"/>
  <c r="G255" i="60"/>
  <c r="H255" i="60"/>
  <c r="G247" i="60"/>
  <c r="H247" i="60"/>
  <c r="G239" i="60"/>
  <c r="H239" i="60"/>
  <c r="H231" i="60"/>
  <c r="G231" i="60"/>
  <c r="G223" i="60"/>
  <c r="H223" i="60"/>
  <c r="G215" i="60"/>
  <c r="H215" i="60"/>
  <c r="G207" i="60"/>
  <c r="H207" i="60"/>
  <c r="H199" i="60"/>
  <c r="G199" i="60"/>
  <c r="G191" i="60"/>
  <c r="H191" i="60"/>
  <c r="H183" i="60"/>
  <c r="G183" i="60"/>
  <c r="G175" i="60"/>
  <c r="H175" i="60"/>
  <c r="G167" i="60"/>
  <c r="H167" i="60"/>
  <c r="G159" i="60"/>
  <c r="H159" i="60"/>
  <c r="G151" i="60"/>
  <c r="H151" i="60"/>
  <c r="G143" i="60"/>
  <c r="H143" i="60"/>
  <c r="G135" i="60"/>
  <c r="H135" i="60"/>
  <c r="G127" i="60"/>
  <c r="H127" i="60"/>
  <c r="G119" i="60"/>
  <c r="H119" i="60"/>
  <c r="H111" i="60"/>
  <c r="G111" i="60"/>
  <c r="G103" i="60"/>
  <c r="H103" i="60"/>
  <c r="G95" i="60"/>
  <c r="H95" i="60"/>
  <c r="G87" i="60"/>
  <c r="H87" i="60"/>
  <c r="G79" i="60"/>
  <c r="H79" i="60"/>
  <c r="G71" i="60"/>
  <c r="H71" i="60"/>
  <c r="H63" i="60"/>
  <c r="G63" i="60"/>
  <c r="G55" i="60"/>
  <c r="H55" i="60"/>
  <c r="H47" i="60"/>
  <c r="G47" i="60"/>
  <c r="G39" i="60"/>
  <c r="H39" i="60"/>
  <c r="H31" i="60"/>
  <c r="G31" i="60"/>
  <c r="G23" i="60"/>
  <c r="H23" i="60"/>
  <c r="G15" i="60"/>
  <c r="H15" i="60"/>
  <c r="G7" i="60"/>
  <c r="H7" i="60"/>
  <c r="E759" i="60"/>
  <c r="E750" i="60"/>
  <c r="E738" i="60"/>
  <c r="E735" i="60"/>
  <c r="H732" i="60"/>
  <c r="H723" i="60"/>
  <c r="G698" i="60"/>
  <c r="E684" i="60"/>
  <c r="G625" i="60"/>
  <c r="G611" i="60"/>
  <c r="H597" i="60"/>
  <c r="G737" i="60"/>
  <c r="H737" i="60"/>
  <c r="G705" i="60"/>
  <c r="G689" i="60"/>
  <c r="H689" i="60"/>
  <c r="H665" i="60"/>
  <c r="E649" i="60"/>
  <c r="G649" i="60"/>
  <c r="H649" i="60"/>
  <c r="E633" i="60"/>
  <c r="G633" i="60"/>
  <c r="H633" i="60"/>
  <c r="G617" i="60"/>
  <c r="H617" i="60"/>
  <c r="G601" i="60"/>
  <c r="H601" i="60"/>
  <c r="H593" i="60"/>
  <c r="G577" i="60"/>
  <c r="H577" i="60"/>
  <c r="G561" i="60"/>
  <c r="H561" i="60"/>
  <c r="G545" i="60"/>
  <c r="H545" i="60"/>
  <c r="G529" i="60"/>
  <c r="H529" i="60"/>
  <c r="G726" i="60"/>
  <c r="H726" i="60"/>
  <c r="E718" i="60"/>
  <c r="G718" i="60"/>
  <c r="G710" i="60"/>
  <c r="H710" i="60"/>
  <c r="G702" i="60"/>
  <c r="H702" i="60"/>
  <c r="E702" i="60"/>
  <c r="G694" i="60"/>
  <c r="H686" i="60"/>
  <c r="G686" i="60"/>
  <c r="G678" i="60"/>
  <c r="H678" i="60"/>
  <c r="G670" i="60"/>
  <c r="H670" i="60"/>
  <c r="G662" i="60"/>
  <c r="H662" i="60"/>
  <c r="G654" i="60"/>
  <c r="H654" i="60"/>
  <c r="E654" i="60"/>
  <c r="G646" i="60"/>
  <c r="H646" i="60"/>
  <c r="G638" i="60"/>
  <c r="H638" i="60"/>
  <c r="G630" i="60"/>
  <c r="H630" i="60"/>
  <c r="G622" i="60"/>
  <c r="H622" i="60"/>
  <c r="G614" i="60"/>
  <c r="H614" i="60"/>
  <c r="E606" i="60"/>
  <c r="G606" i="60"/>
  <c r="H606" i="60"/>
  <c r="G598" i="60"/>
  <c r="H598" i="60"/>
  <c r="G590" i="60"/>
  <c r="H590" i="60"/>
  <c r="G582" i="60"/>
  <c r="H582" i="60"/>
  <c r="H574" i="60"/>
  <c r="G574" i="60"/>
  <c r="G566" i="60"/>
  <c r="H566" i="60"/>
  <c r="G558" i="60"/>
  <c r="H558" i="60"/>
  <c r="G550" i="60"/>
  <c r="H550" i="60"/>
  <c r="G542" i="60"/>
  <c r="H542" i="60"/>
  <c r="H534" i="60"/>
  <c r="G534" i="60"/>
  <c r="G526" i="60"/>
  <c r="H526" i="60"/>
  <c r="G518" i="60"/>
  <c r="H518" i="60"/>
  <c r="G510" i="60"/>
  <c r="H510" i="60"/>
  <c r="H502" i="60"/>
  <c r="G502" i="60"/>
  <c r="H494" i="60"/>
  <c r="G494" i="60"/>
  <c r="G486" i="60"/>
  <c r="H486" i="60"/>
  <c r="G478" i="60"/>
  <c r="H478" i="60"/>
  <c r="H470" i="60"/>
  <c r="G462" i="60"/>
  <c r="H462" i="60"/>
  <c r="H454" i="60"/>
  <c r="G454" i="60"/>
  <c r="G446" i="60"/>
  <c r="H446" i="60"/>
  <c r="G438" i="60"/>
  <c r="H438" i="60"/>
  <c r="G430" i="60"/>
  <c r="H430" i="60"/>
  <c r="G422" i="60"/>
  <c r="H422" i="60"/>
  <c r="G414" i="60"/>
  <c r="H414" i="60"/>
  <c r="G406" i="60"/>
  <c r="H406" i="60"/>
  <c r="G398" i="60"/>
  <c r="H398" i="60"/>
  <c r="G390" i="60"/>
  <c r="H390" i="60"/>
  <c r="H382" i="60"/>
  <c r="G382" i="60"/>
  <c r="G374" i="60"/>
  <c r="H374" i="60"/>
  <c r="H366" i="60"/>
  <c r="G366" i="60"/>
  <c r="G358" i="60"/>
  <c r="H358" i="60"/>
  <c r="H350" i="60"/>
  <c r="G350" i="60"/>
  <c r="G342" i="60"/>
  <c r="H342" i="60"/>
  <c r="G334" i="60"/>
  <c r="H334" i="60"/>
  <c r="G326" i="60"/>
  <c r="H326" i="60"/>
  <c r="G318" i="60"/>
  <c r="H318" i="60"/>
  <c r="G310" i="60"/>
  <c r="H310" i="60"/>
  <c r="G302" i="60"/>
  <c r="H302" i="60"/>
  <c r="G294" i="60"/>
  <c r="H294" i="60"/>
  <c r="G286" i="60"/>
  <c r="H286" i="60"/>
  <c r="H278" i="60"/>
  <c r="G278" i="60"/>
  <c r="G270" i="60"/>
  <c r="H270" i="60"/>
  <c r="G262" i="60"/>
  <c r="H262" i="60"/>
  <c r="G254" i="60"/>
  <c r="H254" i="60"/>
  <c r="G246" i="60"/>
  <c r="H246" i="60"/>
  <c r="G238" i="60"/>
  <c r="H238" i="60"/>
  <c r="H230" i="60"/>
  <c r="G230" i="60"/>
  <c r="G222" i="60"/>
  <c r="H222" i="60"/>
  <c r="G214" i="60"/>
  <c r="H214" i="60"/>
  <c r="G206" i="60"/>
  <c r="H206" i="60"/>
  <c r="G198" i="60"/>
  <c r="H198" i="60"/>
  <c r="G190" i="60"/>
  <c r="H190" i="60"/>
  <c r="G182" i="60"/>
  <c r="H182" i="60"/>
  <c r="G174" i="60"/>
  <c r="H174" i="60"/>
  <c r="H166" i="60"/>
  <c r="G166" i="60"/>
  <c r="G158" i="60"/>
  <c r="H158" i="60"/>
  <c r="H150" i="60"/>
  <c r="G150" i="60"/>
  <c r="G142" i="60"/>
  <c r="H142" i="60"/>
  <c r="G134" i="60"/>
  <c r="H134" i="60"/>
  <c r="G126" i="60"/>
  <c r="H126" i="60"/>
  <c r="G118" i="60"/>
  <c r="H118" i="60"/>
  <c r="H110" i="60"/>
  <c r="G110" i="60"/>
  <c r="G102" i="60"/>
  <c r="H102" i="60"/>
  <c r="G94" i="60"/>
  <c r="H94" i="60"/>
  <c r="G86" i="60"/>
  <c r="H86" i="60"/>
  <c r="H78" i="60"/>
  <c r="G78" i="60"/>
  <c r="H70" i="60"/>
  <c r="G70" i="60"/>
  <c r="G62" i="60"/>
  <c r="H62" i="60"/>
  <c r="H54" i="60"/>
  <c r="G54" i="60"/>
  <c r="H46" i="60"/>
  <c r="G46" i="60"/>
  <c r="G38" i="60"/>
  <c r="H38" i="60"/>
  <c r="G30" i="60"/>
  <c r="H30" i="60"/>
  <c r="H22" i="60"/>
  <c r="G22" i="60"/>
  <c r="G14" i="60"/>
  <c r="H14" i="60"/>
  <c r="G6" i="60"/>
  <c r="H6" i="60"/>
  <c r="E748" i="60"/>
  <c r="H743" i="60"/>
  <c r="H740" i="60"/>
  <c r="H734" i="60"/>
  <c r="H731" i="60"/>
  <c r="E729" i="60"/>
  <c r="E726" i="60"/>
  <c r="G723" i="60"/>
  <c r="H696" i="60"/>
  <c r="G667" i="60"/>
  <c r="G652" i="60"/>
  <c r="G609" i="60"/>
  <c r="G595" i="60"/>
  <c r="H571" i="60"/>
  <c r="G573" i="60"/>
  <c r="H573" i="60"/>
  <c r="H565" i="60"/>
  <c r="G565" i="60"/>
  <c r="G557" i="60"/>
  <c r="H557" i="60"/>
  <c r="G549" i="60"/>
  <c r="H549" i="60"/>
  <c r="G541" i="60"/>
  <c r="H541" i="60"/>
  <c r="H533" i="60"/>
  <c r="G533" i="60"/>
  <c r="G525" i="60"/>
  <c r="H525" i="60"/>
  <c r="G517" i="60"/>
  <c r="H517" i="60"/>
  <c r="G509" i="60"/>
  <c r="H509" i="60"/>
  <c r="H501" i="60"/>
  <c r="G501" i="60"/>
  <c r="G493" i="60"/>
  <c r="H493" i="60"/>
  <c r="G485" i="60"/>
  <c r="H485" i="60"/>
  <c r="G477" i="60"/>
  <c r="H477" i="60"/>
  <c r="G469" i="60"/>
  <c r="H469" i="60"/>
  <c r="H461" i="60"/>
  <c r="G461" i="60"/>
  <c r="G453" i="60"/>
  <c r="H453" i="60"/>
  <c r="G445" i="60"/>
  <c r="H445" i="60"/>
  <c r="G437" i="60"/>
  <c r="H437" i="60"/>
  <c r="G429" i="60"/>
  <c r="H429" i="60"/>
  <c r="G421" i="60"/>
  <c r="H421" i="60"/>
  <c r="H413" i="60"/>
  <c r="G413" i="60"/>
  <c r="G405" i="60"/>
  <c r="H405" i="60"/>
  <c r="G397" i="60"/>
  <c r="H397" i="60"/>
  <c r="G389" i="60"/>
  <c r="H389" i="60"/>
  <c r="H381" i="60"/>
  <c r="G381" i="60"/>
  <c r="H373" i="60"/>
  <c r="G373" i="60"/>
  <c r="G365" i="60"/>
  <c r="H365" i="60"/>
  <c r="H357" i="60"/>
  <c r="G357" i="60"/>
  <c r="G349" i="60"/>
  <c r="H349" i="60"/>
  <c r="G341" i="60"/>
  <c r="H341" i="60"/>
  <c r="G333" i="60"/>
  <c r="H333" i="60"/>
  <c r="G325" i="60"/>
  <c r="H325" i="60"/>
  <c r="H317" i="60"/>
  <c r="G317" i="60"/>
  <c r="H309" i="60"/>
  <c r="G309" i="60"/>
  <c r="G301" i="60"/>
  <c r="H301" i="60"/>
  <c r="G293" i="60"/>
  <c r="H293" i="60"/>
  <c r="G285" i="60"/>
  <c r="H285" i="60"/>
  <c r="G277" i="60"/>
  <c r="H277" i="60"/>
  <c r="G269" i="60"/>
  <c r="H269" i="60"/>
  <c r="H261" i="60"/>
  <c r="G261" i="60"/>
  <c r="G253" i="60"/>
  <c r="H253" i="60"/>
  <c r="G245" i="60"/>
  <c r="H245" i="60"/>
  <c r="G237" i="60"/>
  <c r="H237" i="60"/>
  <c r="H229" i="60"/>
  <c r="G229" i="60"/>
  <c r="G221" i="60"/>
  <c r="H221" i="60"/>
  <c r="G213" i="60"/>
  <c r="H213" i="60"/>
  <c r="G205" i="60"/>
  <c r="H205" i="60"/>
  <c r="H197" i="60"/>
  <c r="G197" i="60"/>
  <c r="G189" i="60"/>
  <c r="H189" i="60"/>
  <c r="G181" i="60"/>
  <c r="H181" i="60"/>
  <c r="G173" i="60"/>
  <c r="H173" i="60"/>
  <c r="G165" i="60"/>
  <c r="H165" i="60"/>
  <c r="G157" i="60"/>
  <c r="H157" i="60"/>
  <c r="G149" i="60"/>
  <c r="H149" i="60"/>
  <c r="G141" i="60"/>
  <c r="H141" i="60"/>
  <c r="G133" i="60"/>
  <c r="H133" i="60"/>
  <c r="G125" i="60"/>
  <c r="H125" i="60"/>
  <c r="G117" i="60"/>
  <c r="H117" i="60"/>
  <c r="G109" i="60"/>
  <c r="H109" i="60"/>
  <c r="G101" i="60"/>
  <c r="H101" i="60"/>
  <c r="G93" i="60"/>
  <c r="H93" i="60"/>
  <c r="G85" i="60"/>
  <c r="H85" i="60"/>
  <c r="H77" i="60"/>
  <c r="G77" i="60"/>
  <c r="G69" i="60"/>
  <c r="H69" i="60"/>
  <c r="H61" i="60"/>
  <c r="G61" i="60"/>
  <c r="G53" i="60"/>
  <c r="H53" i="60"/>
  <c r="H45" i="60"/>
  <c r="G45" i="60"/>
  <c r="G37" i="60"/>
  <c r="H37" i="60"/>
  <c r="G29" i="60"/>
  <c r="H29" i="60"/>
  <c r="G21" i="60"/>
  <c r="H21" i="60"/>
  <c r="G13" i="60"/>
  <c r="H13" i="60"/>
  <c r="G5" i="60"/>
  <c r="H5" i="60"/>
  <c r="H745" i="60"/>
  <c r="G743" i="60"/>
  <c r="E737" i="60"/>
  <c r="G734" i="60"/>
  <c r="H725" i="60"/>
  <c r="G722" i="60"/>
  <c r="H719" i="60"/>
  <c r="G709" i="60"/>
  <c r="H694" i="60"/>
  <c r="G665" i="60"/>
  <c r="H650" i="60"/>
  <c r="G636" i="60"/>
  <c r="G593" i="60"/>
  <c r="A14" i="60"/>
  <c r="E608" i="60" l="1"/>
  <c r="E660" i="60"/>
  <c r="E587" i="60"/>
  <c r="E554" i="60"/>
  <c r="E715" i="60"/>
  <c r="E434" i="60"/>
  <c r="E747" i="60"/>
  <c r="H747" i="60"/>
  <c r="E624" i="60"/>
  <c r="E622" i="60"/>
  <c r="E746" i="60"/>
  <c r="H746" i="60"/>
  <c r="E394" i="60"/>
  <c r="E346" i="60"/>
  <c r="E362" i="60"/>
  <c r="E378" i="60"/>
  <c r="E410" i="60"/>
  <c r="E530" i="60"/>
  <c r="E426" i="60"/>
  <c r="E733" i="60"/>
  <c r="E578" i="60"/>
  <c r="E514" i="60"/>
  <c r="E546" i="60"/>
  <c r="E562" i="60"/>
  <c r="E610" i="60"/>
  <c r="E138" i="60"/>
  <c r="E234" i="60"/>
  <c r="E250" i="60"/>
  <c r="E298" i="60"/>
  <c r="E314" i="60"/>
  <c r="E594" i="60"/>
  <c r="E646" i="60"/>
  <c r="E466" i="60"/>
  <c r="E618" i="60"/>
  <c r="E482" i="60"/>
  <c r="E751" i="60"/>
  <c r="E322" i="60"/>
  <c r="E338" i="60"/>
  <c r="E602" i="60"/>
  <c r="E324" i="60"/>
  <c r="E741" i="60"/>
  <c r="E388" i="60"/>
  <c r="E242" i="60"/>
  <c r="E354" i="60"/>
  <c r="E474" i="60"/>
  <c r="E332" i="60"/>
  <c r="E290" i="60"/>
  <c r="E370" i="60"/>
  <c r="E192" i="60"/>
  <c r="E208" i="60"/>
  <c r="E240" i="60"/>
  <c r="E148" i="60"/>
  <c r="E272" i="60"/>
  <c r="E288" i="60"/>
  <c r="E146" i="60"/>
  <c r="E162" i="60"/>
  <c r="E494" i="60"/>
  <c r="E542" i="60"/>
  <c r="E558" i="60"/>
  <c r="E590" i="60"/>
  <c r="E662" i="60"/>
  <c r="E593" i="60"/>
  <c r="E47" i="60"/>
  <c r="E63" i="60"/>
  <c r="E207" i="60"/>
  <c r="E223" i="60"/>
  <c r="E255" i="60"/>
  <c r="E287" i="60"/>
  <c r="E303" i="60"/>
  <c r="E319" i="60"/>
  <c r="E335" i="60"/>
  <c r="E351" i="60"/>
  <c r="E367" i="60"/>
  <c r="E383" i="60"/>
  <c r="E399" i="60"/>
  <c r="E415" i="60"/>
  <c r="E431" i="60"/>
  <c r="E479" i="60"/>
  <c r="E495" i="60"/>
  <c r="E404" i="60"/>
  <c r="E299" i="60"/>
  <c r="E331" i="60"/>
  <c r="E451" i="60"/>
  <c r="E467" i="60"/>
  <c r="E683" i="60"/>
  <c r="E692" i="60"/>
  <c r="E538" i="60"/>
  <c r="E570" i="60"/>
  <c r="E586" i="60"/>
  <c r="E163" i="60"/>
  <c r="E323" i="60"/>
  <c r="E355" i="60"/>
  <c r="E371" i="60"/>
  <c r="E387" i="60"/>
  <c r="E675" i="60"/>
  <c r="E732" i="60"/>
  <c r="E625" i="60"/>
  <c r="E233" i="60"/>
  <c r="E249" i="60"/>
  <c r="E265" i="60"/>
  <c r="E281" i="60"/>
  <c r="E329" i="60"/>
  <c r="E457" i="60"/>
  <c r="E473" i="60"/>
  <c r="E553" i="60"/>
  <c r="E25" i="60"/>
  <c r="E41" i="60"/>
  <c r="E57" i="60"/>
  <c r="E89" i="60"/>
  <c r="E137" i="60"/>
  <c r="E153" i="60"/>
  <c r="E11" i="60"/>
  <c r="E132" i="60"/>
  <c r="E196" i="60"/>
  <c r="E276" i="60"/>
  <c r="E292" i="60"/>
  <c r="E308" i="60"/>
  <c r="E340" i="60"/>
  <c r="E356" i="60"/>
  <c r="E740" i="60"/>
  <c r="E5" i="60"/>
  <c r="E85" i="60"/>
  <c r="E149" i="60"/>
  <c r="E293" i="60"/>
  <c r="E341" i="60"/>
  <c r="E565" i="60"/>
  <c r="E30" i="60"/>
  <c r="E199" i="60"/>
  <c r="E32" i="60"/>
  <c r="E128" i="60"/>
  <c r="E176" i="60"/>
  <c r="E224" i="60"/>
  <c r="E256" i="60"/>
  <c r="E304" i="60"/>
  <c r="E490" i="60"/>
  <c r="E384" i="60"/>
  <c r="E400" i="60"/>
  <c r="E416" i="60"/>
  <c r="E432" i="60"/>
  <c r="E419" i="60"/>
  <c r="E435" i="60"/>
  <c r="E499" i="60"/>
  <c r="E515" i="60"/>
  <c r="E531" i="60"/>
  <c r="E547" i="60"/>
  <c r="E563" i="60"/>
  <c r="E156" i="60"/>
  <c r="E220" i="60"/>
  <c r="E252" i="60"/>
  <c r="E268" i="60"/>
  <c r="E316" i="60"/>
  <c r="E348" i="60"/>
  <c r="E364" i="60"/>
  <c r="E380" i="60"/>
  <c r="E396" i="60"/>
  <c r="E412" i="60"/>
  <c r="E428" i="60"/>
  <c r="E444" i="60"/>
  <c r="E460" i="60"/>
  <c r="E492" i="60"/>
  <c r="E403" i="60"/>
  <c r="E603" i="60"/>
  <c r="E420" i="60"/>
  <c r="E125" i="60"/>
  <c r="E664" i="60"/>
  <c r="E73" i="60"/>
  <c r="E210" i="60"/>
  <c r="E674" i="60"/>
  <c r="E372" i="60"/>
  <c r="E658" i="60"/>
  <c r="E698" i="60"/>
  <c r="E669" i="60"/>
  <c r="E638" i="60"/>
  <c r="E262" i="60"/>
  <c r="E92" i="60"/>
  <c r="E749" i="60"/>
  <c r="E28" i="60"/>
  <c r="E10" i="60"/>
  <c r="E122" i="60"/>
  <c r="E666" i="60"/>
  <c r="E730" i="60"/>
  <c r="E307" i="60"/>
  <c r="E12" i="60"/>
  <c r="E108" i="60"/>
  <c r="E739" i="60"/>
  <c r="E731" i="60"/>
  <c r="E442" i="60"/>
  <c r="E226" i="60"/>
  <c r="E258" i="60"/>
  <c r="E450" i="60"/>
  <c r="E634" i="60"/>
  <c r="E650" i="60"/>
  <c r="E709" i="60"/>
  <c r="E171" i="60"/>
  <c r="E133" i="60"/>
  <c r="E209" i="60"/>
  <c r="E600" i="60"/>
  <c r="E696" i="60"/>
  <c r="E476" i="60"/>
  <c r="E685" i="60"/>
  <c r="E317" i="60"/>
  <c r="E461" i="60"/>
  <c r="E127" i="60"/>
  <c r="E619" i="60"/>
  <c r="E140" i="60"/>
  <c r="E605" i="60"/>
  <c r="E653" i="60"/>
  <c r="E551" i="60"/>
  <c r="E567" i="60"/>
  <c r="E583" i="60"/>
  <c r="E655" i="60"/>
  <c r="E40" i="60"/>
  <c r="E264" i="60"/>
  <c r="E18" i="60"/>
  <c r="E66" i="60"/>
  <c r="E82" i="60"/>
  <c r="E98" i="60"/>
  <c r="E130" i="60"/>
  <c r="E411" i="60"/>
  <c r="E596" i="60"/>
  <c r="E612" i="60"/>
  <c r="E628" i="60"/>
  <c r="E629" i="60"/>
  <c r="E151" i="60"/>
  <c r="E8" i="60"/>
  <c r="E677" i="60"/>
  <c r="E6" i="60"/>
  <c r="E694" i="60"/>
  <c r="E143" i="60"/>
  <c r="E511" i="60"/>
  <c r="E527" i="60"/>
  <c r="E703" i="60"/>
  <c r="E569" i="60"/>
  <c r="E48" i="60"/>
  <c r="E64" i="60"/>
  <c r="E80" i="60"/>
  <c r="E144" i="60"/>
  <c r="E336" i="60"/>
  <c r="E448" i="60"/>
  <c r="E464" i="60"/>
  <c r="E568" i="60"/>
  <c r="E9" i="60"/>
  <c r="E169" i="60"/>
  <c r="E297" i="60"/>
  <c r="E489" i="60"/>
  <c r="E26" i="60"/>
  <c r="E90" i="60"/>
  <c r="E106" i="60"/>
  <c r="E154" i="60"/>
  <c r="E170" i="60"/>
  <c r="E186" i="60"/>
  <c r="E498" i="60"/>
  <c r="E626" i="60"/>
  <c r="E753" i="60"/>
  <c r="E27" i="60"/>
  <c r="E59" i="60"/>
  <c r="E91" i="60"/>
  <c r="E139" i="60"/>
  <c r="E155" i="60"/>
  <c r="E203" i="60"/>
  <c r="E219" i="60"/>
  <c r="E251" i="60"/>
  <c r="E283" i="60"/>
  <c r="E94" i="60"/>
  <c r="E126" i="60"/>
  <c r="E334" i="60"/>
  <c r="E574" i="60"/>
  <c r="E101" i="60"/>
  <c r="E213" i="60"/>
  <c r="E485" i="60"/>
  <c r="E720" i="60"/>
  <c r="E174" i="60"/>
  <c r="E222" i="60"/>
  <c r="E254" i="60"/>
  <c r="E302" i="60"/>
  <c r="E744" i="60"/>
  <c r="E56" i="60"/>
  <c r="E72" i="60"/>
  <c r="E104" i="60"/>
  <c r="E216" i="60"/>
  <c r="E280" i="60"/>
  <c r="E296" i="60"/>
  <c r="E456" i="60"/>
  <c r="E472" i="60"/>
  <c r="E178" i="60"/>
  <c r="E386" i="60"/>
  <c r="E402" i="60"/>
  <c r="E418" i="60"/>
  <c r="E700" i="60"/>
  <c r="E614" i="60"/>
  <c r="E103" i="60"/>
  <c r="E167" i="60"/>
  <c r="E359" i="60"/>
  <c r="E375" i="60"/>
  <c r="E559" i="60"/>
  <c r="E88" i="60"/>
  <c r="E120" i="60"/>
  <c r="E152" i="60"/>
  <c r="E168" i="60"/>
  <c r="E360" i="60"/>
  <c r="E376" i="60"/>
  <c r="E392" i="60"/>
  <c r="E408" i="60"/>
  <c r="E424" i="60"/>
  <c r="E440" i="60"/>
  <c r="E632" i="60"/>
  <c r="E688" i="60"/>
  <c r="E758" i="60"/>
  <c r="E760" i="60"/>
  <c r="E458" i="60"/>
  <c r="E589" i="60"/>
  <c r="E645" i="60"/>
  <c r="E697" i="60"/>
  <c r="E19" i="60"/>
  <c r="E35" i="60"/>
  <c r="E115" i="60"/>
  <c r="E131" i="60"/>
  <c r="E179" i="60"/>
  <c r="E195" i="60"/>
  <c r="E227" i="60"/>
  <c r="E259" i="60"/>
  <c r="E347" i="60"/>
  <c r="E363" i="60"/>
  <c r="E379" i="60"/>
  <c r="E427" i="60"/>
  <c r="E443" i="60"/>
  <c r="E507" i="60"/>
  <c r="E523" i="60"/>
  <c r="E436" i="60"/>
  <c r="E516" i="60"/>
  <c r="E532" i="60"/>
  <c r="E548" i="60"/>
  <c r="E564" i="60"/>
  <c r="E644" i="60"/>
  <c r="E470" i="60"/>
  <c r="E534" i="60"/>
  <c r="E670" i="60"/>
  <c r="E686" i="60"/>
  <c r="E734" i="60"/>
  <c r="E577" i="60"/>
  <c r="E575" i="60"/>
  <c r="E623" i="60"/>
  <c r="E679" i="60"/>
  <c r="E496" i="60"/>
  <c r="E528" i="60"/>
  <c r="E616" i="60"/>
  <c r="E742" i="60"/>
  <c r="E49" i="60"/>
  <c r="E65" i="60"/>
  <c r="E81" i="60"/>
  <c r="E241" i="60"/>
  <c r="E273" i="60"/>
  <c r="E449" i="60"/>
  <c r="E465" i="60"/>
  <c r="E395" i="60"/>
  <c r="E661" i="60"/>
  <c r="E13" i="60"/>
  <c r="E237" i="60"/>
  <c r="E269" i="60"/>
  <c r="E445" i="60"/>
  <c r="E541" i="60"/>
  <c r="E38" i="60"/>
  <c r="E134" i="60"/>
  <c r="E198" i="60"/>
  <c r="E326" i="60"/>
  <c r="E39" i="60"/>
  <c r="E447" i="60"/>
  <c r="E724" i="60"/>
  <c r="E712" i="60"/>
  <c r="E97" i="60"/>
  <c r="E113" i="60"/>
  <c r="E129" i="60"/>
  <c r="E145" i="60"/>
  <c r="E225" i="60"/>
  <c r="E289" i="60"/>
  <c r="E202" i="60"/>
  <c r="E714" i="60"/>
  <c r="E123" i="60"/>
  <c r="E187" i="60"/>
  <c r="E459" i="60"/>
  <c r="E475" i="60"/>
  <c r="E491" i="60"/>
  <c r="E595" i="60"/>
  <c r="E667" i="60"/>
  <c r="E699" i="60"/>
  <c r="E36" i="60"/>
  <c r="E221" i="60"/>
  <c r="E253" i="60"/>
  <c r="E54" i="60"/>
  <c r="E70" i="60"/>
  <c r="E109" i="60"/>
  <c r="E173" i="60"/>
  <c r="E381" i="60"/>
  <c r="E477" i="60"/>
  <c r="E493" i="60"/>
  <c r="E22" i="60"/>
  <c r="E45" i="60"/>
  <c r="E93" i="60"/>
  <c r="E157" i="60"/>
  <c r="E29" i="60"/>
  <c r="E165" i="60"/>
  <c r="E245" i="60"/>
  <c r="E77" i="60"/>
  <c r="E110" i="60"/>
  <c r="E158" i="60"/>
  <c r="E117" i="60"/>
  <c r="E181" i="60"/>
  <c r="E229" i="60"/>
  <c r="E261" i="60"/>
  <c r="E309" i="60"/>
  <c r="E357" i="60"/>
  <c r="E389" i="60"/>
  <c r="E421" i="60"/>
  <c r="E437" i="60"/>
  <c r="E469" i="60"/>
  <c r="E517" i="60"/>
  <c r="E549" i="60"/>
  <c r="E197" i="60"/>
  <c r="E277" i="60"/>
  <c r="E373" i="60"/>
  <c r="E405" i="60"/>
  <c r="E453" i="60"/>
  <c r="E501" i="60"/>
  <c r="E533" i="60"/>
  <c r="E21" i="60"/>
  <c r="E37" i="60"/>
  <c r="E53" i="60"/>
  <c r="E61" i="60"/>
  <c r="E69" i="60"/>
  <c r="E141" i="60"/>
  <c r="E189" i="60"/>
  <c r="E205" i="60"/>
  <c r="E325" i="60"/>
  <c r="E397" i="60"/>
  <c r="E413" i="60"/>
  <c r="E429" i="60"/>
  <c r="E509" i="60"/>
  <c r="E525" i="60"/>
  <c r="E557" i="60"/>
  <c r="E573" i="60"/>
  <c r="E14" i="60"/>
  <c r="E46" i="60"/>
  <c r="E62" i="60"/>
  <c r="E78" i="60"/>
  <c r="E142" i="60"/>
  <c r="E190" i="60"/>
  <c r="E206" i="60"/>
  <c r="E238" i="60"/>
  <c r="E270" i="60"/>
  <c r="E286" i="60"/>
  <c r="E318" i="60"/>
  <c r="E382" i="60"/>
  <c r="E398" i="60"/>
  <c r="E414" i="60"/>
  <c r="E430" i="60"/>
  <c r="E446" i="60"/>
  <c r="E462" i="60"/>
  <c r="E566" i="60"/>
  <c r="E582" i="60"/>
  <c r="E630" i="60"/>
  <c r="E529" i="60"/>
  <c r="E561" i="60"/>
  <c r="E7" i="60"/>
  <c r="E87" i="60"/>
  <c r="E215" i="60"/>
  <c r="E343" i="60"/>
  <c r="E487" i="60"/>
  <c r="E521" i="60"/>
  <c r="E200" i="60"/>
  <c r="E17" i="60"/>
  <c r="E33" i="60"/>
  <c r="E161" i="60"/>
  <c r="E177" i="60"/>
  <c r="E193" i="60"/>
  <c r="E257" i="60"/>
  <c r="E305" i="60"/>
  <c r="E321" i="60"/>
  <c r="E337" i="60"/>
  <c r="E353" i="60"/>
  <c r="E369" i="60"/>
  <c r="E385" i="60"/>
  <c r="E401" i="60"/>
  <c r="E417" i="60"/>
  <c r="E433" i="60"/>
  <c r="E497" i="60"/>
  <c r="E513" i="60"/>
  <c r="E218" i="60"/>
  <c r="E282" i="60"/>
  <c r="E330" i="60"/>
  <c r="E506" i="60"/>
  <c r="E642" i="60"/>
  <c r="E107" i="60"/>
  <c r="E235" i="60"/>
  <c r="E267" i="60"/>
  <c r="E315" i="60"/>
  <c r="E539" i="60"/>
  <c r="E555" i="60"/>
  <c r="E571" i="60"/>
  <c r="E611" i="60"/>
  <c r="E627" i="60"/>
  <c r="E723" i="60"/>
  <c r="E637" i="60"/>
  <c r="E20" i="60"/>
  <c r="E68" i="60"/>
  <c r="E116" i="60"/>
  <c r="E180" i="60"/>
  <c r="E228" i="60"/>
  <c r="E260" i="60"/>
  <c r="E701" i="60"/>
  <c r="E682" i="60"/>
  <c r="E43" i="60"/>
  <c r="E75" i="60"/>
  <c r="E500" i="60"/>
  <c r="E652" i="60"/>
  <c r="E668" i="60"/>
  <c r="E717" i="60"/>
  <c r="E598" i="60"/>
  <c r="E689" i="60"/>
  <c r="E183" i="60"/>
  <c r="E231" i="60"/>
  <c r="E247" i="60"/>
  <c r="E263" i="60"/>
  <c r="E279" i="60"/>
  <c r="E327" i="60"/>
  <c r="E391" i="60"/>
  <c r="E407" i="60"/>
  <c r="E423" i="60"/>
  <c r="E439" i="60"/>
  <c r="E455" i="60"/>
  <c r="E471" i="60"/>
  <c r="E503" i="60"/>
  <c r="E519" i="60"/>
  <c r="E535" i="60"/>
  <c r="E639" i="60"/>
  <c r="E695" i="60"/>
  <c r="E585" i="60"/>
  <c r="E641" i="60"/>
  <c r="E681" i="60"/>
  <c r="E24" i="60"/>
  <c r="E136" i="60"/>
  <c r="E184" i="60"/>
  <c r="E232" i="60"/>
  <c r="E248" i="60"/>
  <c r="E312" i="60"/>
  <c r="E328" i="60"/>
  <c r="E344" i="60"/>
  <c r="E488" i="60"/>
  <c r="E504" i="60"/>
  <c r="E520" i="60"/>
  <c r="E648" i="60"/>
  <c r="E217" i="60"/>
  <c r="E313" i="60"/>
  <c r="E345" i="60"/>
  <c r="E361" i="60"/>
  <c r="E377" i="60"/>
  <c r="E393" i="60"/>
  <c r="E409" i="60"/>
  <c r="E425" i="60"/>
  <c r="E441" i="60"/>
  <c r="E505" i="60"/>
  <c r="E266" i="60"/>
  <c r="E51" i="60"/>
  <c r="E67" i="60"/>
  <c r="E275" i="60"/>
  <c r="E613" i="60"/>
  <c r="E722" i="60"/>
  <c r="E452" i="60"/>
  <c r="E468" i="60"/>
  <c r="E484" i="60"/>
  <c r="E604" i="60"/>
  <c r="E620" i="60"/>
  <c r="E636" i="60"/>
  <c r="E581" i="60"/>
  <c r="E150" i="60"/>
  <c r="E214" i="60"/>
  <c r="E278" i="60"/>
  <c r="E454" i="60"/>
  <c r="E486" i="60"/>
  <c r="E502" i="60"/>
  <c r="E518" i="60"/>
  <c r="E601" i="60"/>
  <c r="E23" i="60"/>
  <c r="E55" i="60"/>
  <c r="E71" i="60"/>
  <c r="E119" i="60"/>
  <c r="E135" i="60"/>
  <c r="E480" i="60"/>
  <c r="E656" i="60"/>
  <c r="E121" i="60"/>
  <c r="E185" i="60"/>
  <c r="E42" i="60"/>
  <c r="E58" i="60"/>
  <c r="E74" i="60"/>
  <c r="E194" i="60"/>
  <c r="E306" i="60"/>
  <c r="E706" i="60"/>
  <c r="E621" i="60"/>
  <c r="E83" i="60"/>
  <c r="E99" i="60"/>
  <c r="E147" i="60"/>
  <c r="E243" i="60"/>
  <c r="E291" i="60"/>
  <c r="E651" i="60"/>
  <c r="E691" i="60"/>
  <c r="E716" i="60"/>
  <c r="E4" i="60"/>
  <c r="E52" i="60"/>
  <c r="E84" i="60"/>
  <c r="E100" i="60"/>
  <c r="E164" i="60"/>
  <c r="E212" i="60"/>
  <c r="E244" i="60"/>
  <c r="E284" i="60"/>
  <c r="E300" i="60"/>
  <c r="E285" i="60"/>
  <c r="E301" i="60"/>
  <c r="E333" i="60"/>
  <c r="E349" i="60"/>
  <c r="E365" i="60"/>
  <c r="E86" i="60"/>
  <c r="E102" i="60"/>
  <c r="E118" i="60"/>
  <c r="E166" i="60"/>
  <c r="E182" i="60"/>
  <c r="E230" i="60"/>
  <c r="E246" i="60"/>
  <c r="E294" i="60"/>
  <c r="E310" i="60"/>
  <c r="E342" i="60"/>
  <c r="E358" i="60"/>
  <c r="E374" i="60"/>
  <c r="E390" i="60"/>
  <c r="E406" i="60"/>
  <c r="E422" i="60"/>
  <c r="E438" i="60"/>
  <c r="E478" i="60"/>
  <c r="E678" i="60"/>
  <c r="E710" i="60"/>
  <c r="E743" i="60"/>
  <c r="E545" i="60"/>
  <c r="E79" i="60"/>
  <c r="E239" i="60"/>
  <c r="E271" i="60"/>
  <c r="E607" i="60"/>
  <c r="E663" i="60"/>
  <c r="E719" i="60"/>
  <c r="E609" i="60"/>
  <c r="E721" i="60"/>
  <c r="E16" i="60"/>
  <c r="E160" i="60"/>
  <c r="E640" i="60"/>
  <c r="E105" i="60"/>
  <c r="E201" i="60"/>
  <c r="E34" i="60"/>
  <c r="E50" i="60"/>
  <c r="E114" i="60"/>
  <c r="E690" i="60"/>
  <c r="E211" i="60"/>
  <c r="E339" i="60"/>
  <c r="E483" i="60"/>
  <c r="E579" i="60"/>
  <c r="E635" i="60"/>
  <c r="E707" i="60"/>
  <c r="E204" i="60"/>
  <c r="E572" i="60"/>
  <c r="E588" i="60"/>
  <c r="E676" i="60"/>
  <c r="E463" i="60"/>
  <c r="E591" i="60"/>
  <c r="E687" i="60"/>
  <c r="E537" i="60"/>
  <c r="E657" i="60"/>
  <c r="E112" i="60"/>
  <c r="E320" i="60"/>
  <c r="E352" i="60"/>
  <c r="E368" i="60"/>
  <c r="E512" i="60"/>
  <c r="E544" i="60"/>
  <c r="E560" i="60"/>
  <c r="E576" i="60"/>
  <c r="E672" i="60"/>
  <c r="E508" i="60"/>
  <c r="E524" i="60"/>
  <c r="E540" i="60"/>
  <c r="E556" i="60"/>
  <c r="E96" i="60"/>
  <c r="E536" i="60"/>
  <c r="E552" i="60"/>
  <c r="E680" i="60"/>
  <c r="E274" i="60"/>
  <c r="E580" i="60"/>
  <c r="E350" i="60"/>
  <c r="E366" i="60"/>
  <c r="E510" i="60"/>
  <c r="E526" i="60"/>
  <c r="E550" i="60"/>
  <c r="E617" i="60"/>
  <c r="E665" i="60"/>
  <c r="E705" i="60"/>
  <c r="E15" i="60"/>
  <c r="E31" i="60"/>
  <c r="E95" i="60"/>
  <c r="E111" i="60"/>
  <c r="E159" i="60"/>
  <c r="E175" i="60"/>
  <c r="E191" i="60"/>
  <c r="E295" i="60"/>
  <c r="E311" i="60"/>
  <c r="E711" i="60"/>
  <c r="E481" i="60"/>
  <c r="E522" i="60"/>
  <c r="E725" i="60"/>
  <c r="E643" i="60"/>
  <c r="E659" i="60"/>
  <c r="E708" i="60"/>
  <c r="E597" i="60"/>
  <c r="E44" i="60"/>
  <c r="E60" i="60"/>
  <c r="E76" i="60"/>
  <c r="E124" i="60"/>
  <c r="E172" i="60"/>
  <c r="E188" i="60"/>
  <c r="E236" i="60"/>
  <c r="E713" i="60"/>
  <c r="A15" i="60"/>
  <c r="A16" i="60" l="1"/>
  <c r="A17" i="60" l="1"/>
  <c r="A18" i="60" l="1"/>
  <c r="A19" i="60" l="1"/>
  <c r="A20" i="60" l="1"/>
  <c r="A21" i="60" l="1"/>
  <c r="A22" i="60" l="1"/>
  <c r="A23" i="60" l="1"/>
  <c r="A24" i="60" l="1"/>
  <c r="A25" i="60" l="1"/>
  <c r="A26" i="60" l="1"/>
  <c r="A27" i="60" l="1"/>
  <c r="A28" i="60" l="1"/>
  <c r="A29" i="60" l="1"/>
  <c r="A30" i="60" l="1"/>
  <c r="A31" i="60" l="1"/>
  <c r="A32" i="60" l="1"/>
  <c r="A33" i="60" l="1"/>
  <c r="A34" i="60" l="1"/>
  <c r="A35" i="60" l="1"/>
  <c r="A36" i="60" l="1"/>
  <c r="A37" i="60" l="1"/>
  <c r="A38" i="60" l="1"/>
  <c r="A39" i="60" l="1"/>
  <c r="A40" i="60" l="1"/>
  <c r="A41" i="60" l="1"/>
  <c r="A42" i="60" l="1"/>
  <c r="A43" i="60" l="1"/>
  <c r="A44" i="60" l="1"/>
  <c r="A45" i="60" l="1"/>
  <c r="A46" i="60" l="1"/>
  <c r="A47" i="60" l="1"/>
  <c r="A48" i="60" l="1"/>
  <c r="A49" i="60" l="1"/>
  <c r="A50" i="60" l="1"/>
  <c r="A51" i="60" l="1"/>
  <c r="A52" i="60" l="1"/>
  <c r="A53" i="60" l="1"/>
  <c r="A54" i="60" l="1"/>
  <c r="A55" i="60" l="1"/>
  <c r="A56" i="60" l="1"/>
  <c r="A57" i="60" l="1"/>
  <c r="A58" i="60" l="1"/>
  <c r="A59" i="60" l="1"/>
  <c r="A60" i="60" l="1"/>
  <c r="A61" i="60" l="1"/>
  <c r="A62" i="60" l="1"/>
  <c r="A63" i="60" l="1"/>
  <c r="A64" i="60" l="1"/>
  <c r="A65" i="60" l="1"/>
  <c r="A66" i="60" l="1"/>
  <c r="A67" i="60" l="1"/>
  <c r="A68" i="60" l="1"/>
  <c r="A69" i="60" l="1"/>
  <c r="A70" i="60" l="1"/>
  <c r="A71" i="60" l="1"/>
  <c r="A72" i="60" l="1"/>
  <c r="A73" i="60" l="1"/>
  <c r="A74" i="60" l="1"/>
  <c r="A75" i="60" l="1"/>
  <c r="A76" i="60" l="1"/>
  <c r="A77" i="60" l="1"/>
  <c r="A78" i="60" l="1"/>
  <c r="A79" i="60" l="1"/>
  <c r="A80" i="60" l="1"/>
  <c r="A81" i="60" l="1"/>
  <c r="A82" i="60" l="1"/>
  <c r="A83" i="60" l="1"/>
  <c r="A84" i="60" l="1"/>
  <c r="A85" i="60" l="1"/>
  <c r="A86" i="60" l="1"/>
  <c r="A87" i="60" l="1"/>
  <c r="A88" i="60" l="1"/>
  <c r="A89" i="60" l="1"/>
  <c r="A90" i="60" l="1"/>
  <c r="A91" i="60" l="1"/>
  <c r="A92" i="60" l="1"/>
  <c r="A678" i="59"/>
  <c r="A679" i="59"/>
  <c r="A604" i="59"/>
  <c r="A605" i="59"/>
  <c r="A535" i="59"/>
  <c r="A536" i="59"/>
  <c r="A534" i="59"/>
  <c r="A398" i="59"/>
  <c r="A399" i="59" s="1"/>
  <c r="A4" i="59"/>
  <c r="A5" i="59" s="1"/>
  <c r="A3" i="59"/>
  <c r="F7" i="62"/>
  <c r="G4" i="59" l="1"/>
  <c r="H4" i="59"/>
  <c r="G3" i="59"/>
  <c r="H3" i="59"/>
  <c r="G389" i="59"/>
  <c r="H389" i="59"/>
  <c r="G388" i="59"/>
  <c r="H388" i="59"/>
  <c r="G387" i="59"/>
  <c r="H387" i="59"/>
  <c r="G386" i="59"/>
  <c r="H386" i="59"/>
  <c r="G385" i="59"/>
  <c r="H385" i="59"/>
  <c r="G384" i="59"/>
  <c r="H384" i="59"/>
  <c r="G383" i="59"/>
  <c r="H383" i="59"/>
  <c r="G382" i="59"/>
  <c r="G534" i="59"/>
  <c r="G398" i="59"/>
  <c r="H398" i="59"/>
  <c r="H397" i="59"/>
  <c r="G397" i="59"/>
  <c r="G396" i="59"/>
  <c r="H396" i="59"/>
  <c r="G395" i="59"/>
  <c r="H395" i="59"/>
  <c r="G394" i="59"/>
  <c r="H394" i="59"/>
  <c r="G393" i="59"/>
  <c r="H393" i="59"/>
  <c r="G392" i="59"/>
  <c r="H392" i="59"/>
  <c r="G391" i="59"/>
  <c r="H391" i="59"/>
  <c r="G390" i="59"/>
  <c r="H390" i="59"/>
  <c r="G536" i="59"/>
  <c r="H536" i="59"/>
  <c r="G535" i="59"/>
  <c r="G605" i="59"/>
  <c r="H605" i="59"/>
  <c r="G604" i="59"/>
  <c r="H604" i="59"/>
  <c r="G678" i="59"/>
  <c r="H678" i="59"/>
  <c r="A93" i="60"/>
  <c r="A680" i="59"/>
  <c r="A606" i="59"/>
  <c r="A537" i="59"/>
  <c r="H535" i="59"/>
  <c r="A400" i="59"/>
  <c r="H382" i="59"/>
  <c r="A6" i="59"/>
  <c r="H2" i="60"/>
  <c r="E534" i="59" l="1"/>
  <c r="E382" i="59"/>
  <c r="E393" i="59"/>
  <c r="E385" i="59"/>
  <c r="H534" i="59"/>
  <c r="E396" i="59"/>
  <c r="E386" i="59"/>
  <c r="E389" i="59"/>
  <c r="E397" i="59"/>
  <c r="E390" i="59"/>
  <c r="E678" i="59"/>
  <c r="E398" i="59"/>
  <c r="E388" i="59"/>
  <c r="E535" i="59"/>
  <c r="G5" i="59"/>
  <c r="H5" i="59"/>
  <c r="G399" i="59"/>
  <c r="H399" i="59"/>
  <c r="G679" i="59"/>
  <c r="H679" i="59"/>
  <c r="E394" i="59"/>
  <c r="E395" i="59"/>
  <c r="E392" i="59"/>
  <c r="E383" i="59"/>
  <c r="A94" i="60"/>
  <c r="E387" i="59"/>
  <c r="E391" i="59"/>
  <c r="E604" i="59"/>
  <c r="E384" i="59"/>
  <c r="E536" i="59"/>
  <c r="E605" i="59"/>
  <c r="A681" i="59"/>
  <c r="A607" i="59"/>
  <c r="A538" i="59"/>
  <c r="A401" i="59"/>
  <c r="A7" i="59"/>
  <c r="F2" i="60"/>
  <c r="G6" i="59" l="1"/>
  <c r="H6" i="59"/>
  <c r="G400" i="59"/>
  <c r="H400" i="59"/>
  <c r="G537" i="59"/>
  <c r="H537" i="59"/>
  <c r="G606" i="59"/>
  <c r="H606" i="59"/>
  <c r="G680" i="59"/>
  <c r="H680" i="59"/>
  <c r="E2" i="60"/>
  <c r="A95" i="60"/>
  <c r="E679" i="59"/>
  <c r="A682" i="59"/>
  <c r="A608" i="59"/>
  <c r="A539" i="59"/>
  <c r="E399" i="59"/>
  <c r="A402" i="59"/>
  <c r="A8" i="59"/>
  <c r="G7" i="59" l="1"/>
  <c r="H7" i="59"/>
  <c r="H401" i="59"/>
  <c r="G401" i="59"/>
  <c r="G538" i="59"/>
  <c r="H538" i="59"/>
  <c r="G607" i="59"/>
  <c r="H607" i="59"/>
  <c r="H681" i="59"/>
  <c r="G681" i="59"/>
  <c r="A96" i="60"/>
  <c r="E400" i="59"/>
  <c r="E680" i="59"/>
  <c r="A683" i="59"/>
  <c r="E606" i="59"/>
  <c r="A609" i="59"/>
  <c r="E537" i="59"/>
  <c r="A540" i="59"/>
  <c r="A403" i="59"/>
  <c r="A9" i="59"/>
  <c r="G8" i="59" l="1"/>
  <c r="H8" i="59"/>
  <c r="G402" i="59"/>
  <c r="H402" i="59"/>
  <c r="G539" i="59"/>
  <c r="H539" i="59"/>
  <c r="G608" i="59"/>
  <c r="H608" i="59"/>
  <c r="G682" i="59"/>
  <c r="H682" i="59"/>
  <c r="A97" i="60"/>
  <c r="E401" i="59"/>
  <c r="E681" i="59"/>
  <c r="E607" i="59"/>
  <c r="A684" i="59"/>
  <c r="A610" i="59"/>
  <c r="A541" i="59"/>
  <c r="E538" i="59"/>
  <c r="A404" i="59"/>
  <c r="A10" i="59"/>
  <c r="G9" i="59" l="1"/>
  <c r="H9" i="59"/>
  <c r="G403" i="59"/>
  <c r="H403" i="59"/>
  <c r="G540" i="59"/>
  <c r="H540" i="59"/>
  <c r="G609" i="59"/>
  <c r="H609" i="59"/>
  <c r="G683" i="59"/>
  <c r="H683" i="59"/>
  <c r="A98" i="60"/>
  <c r="E402" i="59"/>
  <c r="E539" i="59"/>
  <c r="E682" i="59"/>
  <c r="A685" i="59"/>
  <c r="E608" i="59"/>
  <c r="A611" i="59"/>
  <c r="A542" i="59"/>
  <c r="A405" i="59"/>
  <c r="A11" i="59"/>
  <c r="G10" i="59" l="1"/>
  <c r="H10" i="59"/>
  <c r="G404" i="59"/>
  <c r="H404" i="59"/>
  <c r="H541" i="59"/>
  <c r="G541" i="59"/>
  <c r="G610" i="59"/>
  <c r="H610" i="59"/>
  <c r="G684" i="59"/>
  <c r="A99" i="60"/>
  <c r="E403" i="59"/>
  <c r="E540" i="59"/>
  <c r="E609" i="59"/>
  <c r="E683" i="59"/>
  <c r="H684" i="59"/>
  <c r="A686" i="59"/>
  <c r="A612" i="59"/>
  <c r="A543" i="59"/>
  <c r="A406" i="59"/>
  <c r="A12" i="59"/>
  <c r="G11" i="59" l="1"/>
  <c r="H11" i="59"/>
  <c r="G405" i="59"/>
  <c r="H405" i="59"/>
  <c r="G542" i="59"/>
  <c r="H542" i="59"/>
  <c r="G611" i="59"/>
  <c r="H611" i="59"/>
  <c r="G685" i="59"/>
  <c r="A100" i="60"/>
  <c r="E404" i="59"/>
  <c r="E541" i="59"/>
  <c r="E610" i="59"/>
  <c r="E684" i="59"/>
  <c r="H685" i="59"/>
  <c r="A687" i="59"/>
  <c r="A613" i="59"/>
  <c r="A544" i="59"/>
  <c r="A407" i="59"/>
  <c r="A13" i="59"/>
  <c r="E397" i="49"/>
  <c r="E398" i="49"/>
  <c r="F399" i="49"/>
  <c r="H810" i="56" l="1"/>
  <c r="G12" i="59"/>
  <c r="H12" i="59"/>
  <c r="G406" i="59"/>
  <c r="H406" i="59"/>
  <c r="G543" i="59"/>
  <c r="H543" i="59"/>
  <c r="G612" i="59"/>
  <c r="H612" i="59"/>
  <c r="G686" i="59"/>
  <c r="A101" i="60"/>
  <c r="E405" i="59"/>
  <c r="E611" i="59"/>
  <c r="E542" i="59"/>
  <c r="E685" i="59"/>
  <c r="H686" i="59"/>
  <c r="A688" i="59"/>
  <c r="A614" i="59"/>
  <c r="A545" i="59"/>
  <c r="A408" i="59"/>
  <c r="A14" i="59"/>
  <c r="C398" i="49"/>
  <c r="C397" i="49"/>
  <c r="E399" i="49"/>
  <c r="E810" i="56" l="1"/>
  <c r="G13" i="59"/>
  <c r="H13" i="59"/>
  <c r="G407" i="59"/>
  <c r="H407" i="59"/>
  <c r="G544" i="59"/>
  <c r="H544" i="59"/>
  <c r="H613" i="59"/>
  <c r="G613" i="59"/>
  <c r="G687" i="59"/>
  <c r="A102" i="60"/>
  <c r="E406" i="59"/>
  <c r="E686" i="59"/>
  <c r="H687" i="59"/>
  <c r="A689" i="59"/>
  <c r="E612" i="59"/>
  <c r="A615" i="59"/>
  <c r="E543" i="59"/>
  <c r="A546" i="59"/>
  <c r="A409" i="59"/>
  <c r="A15" i="59"/>
  <c r="E398" i="47"/>
  <c r="G399" i="49" s="1"/>
  <c r="E397" i="47"/>
  <c r="G398" i="49" s="1"/>
  <c r="F398" i="49"/>
  <c r="E396" i="47"/>
  <c r="G397" i="49" s="1"/>
  <c r="F397" i="49"/>
  <c r="G14" i="59" l="1"/>
  <c r="H14" i="59"/>
  <c r="G408" i="59"/>
  <c r="H408" i="59"/>
  <c r="G545" i="59"/>
  <c r="H545" i="59"/>
  <c r="G614" i="59"/>
  <c r="H614" i="59"/>
  <c r="G688" i="59"/>
  <c r="A103" i="60"/>
  <c r="E687" i="59"/>
  <c r="H688" i="59"/>
  <c r="A690" i="59"/>
  <c r="E613" i="59"/>
  <c r="A616" i="59"/>
  <c r="A547" i="59"/>
  <c r="E544" i="59"/>
  <c r="E407" i="59"/>
  <c r="A410" i="59"/>
  <c r="A16" i="59"/>
  <c r="G15" i="59" l="1"/>
  <c r="H15" i="59"/>
  <c r="G409" i="59"/>
  <c r="G546" i="59"/>
  <c r="H546" i="59"/>
  <c r="G615" i="59"/>
  <c r="H615" i="59"/>
  <c r="H689" i="59"/>
  <c r="G689" i="59"/>
  <c r="A104" i="60"/>
  <c r="E408" i="59"/>
  <c r="A691" i="59"/>
  <c r="E688" i="59"/>
  <c r="E614" i="59"/>
  <c r="A617" i="59"/>
  <c r="E545" i="59"/>
  <c r="A548" i="59"/>
  <c r="A411" i="59"/>
  <c r="H409" i="59"/>
  <c r="A17" i="59"/>
  <c r="G16" i="59" l="1"/>
  <c r="G410" i="59"/>
  <c r="G547" i="59"/>
  <c r="H547" i="59"/>
  <c r="G616" i="59"/>
  <c r="H616" i="59"/>
  <c r="G690" i="59"/>
  <c r="H690" i="59"/>
  <c r="A105" i="60"/>
  <c r="E546" i="59"/>
  <c r="E689" i="59"/>
  <c r="E615" i="59"/>
  <c r="A692" i="59"/>
  <c r="A618" i="59"/>
  <c r="A549" i="59"/>
  <c r="H410" i="59"/>
  <c r="E409" i="59"/>
  <c r="A412" i="59"/>
  <c r="A18" i="59"/>
  <c r="G17" i="59" l="1"/>
  <c r="H17" i="59"/>
  <c r="G411" i="59"/>
  <c r="G548" i="59"/>
  <c r="H548" i="59"/>
  <c r="G617" i="59"/>
  <c r="H617" i="59"/>
  <c r="G691" i="59"/>
  <c r="H691" i="59"/>
  <c r="A106" i="60"/>
  <c r="E410" i="59"/>
  <c r="E690" i="59"/>
  <c r="E547" i="59"/>
  <c r="A693" i="59"/>
  <c r="E616" i="59"/>
  <c r="A619" i="59"/>
  <c r="A550" i="59"/>
  <c r="H411" i="59"/>
  <c r="A413" i="59"/>
  <c r="A19" i="59"/>
  <c r="O64" i="65"/>
  <c r="G18" i="59" l="1"/>
  <c r="H18" i="59"/>
  <c r="G412" i="59"/>
  <c r="G549" i="59"/>
  <c r="H549" i="59"/>
  <c r="G618" i="59"/>
  <c r="H618" i="59"/>
  <c r="G692" i="59"/>
  <c r="H692" i="59"/>
  <c r="E691" i="59"/>
  <c r="A107" i="60"/>
  <c r="E548" i="59"/>
  <c r="E617" i="59"/>
  <c r="A694" i="59"/>
  <c r="A620" i="59"/>
  <c r="A551" i="59"/>
  <c r="E411" i="59"/>
  <c r="H412" i="59"/>
  <c r="A414" i="59"/>
  <c r="A20" i="59"/>
  <c r="G19" i="59" l="1"/>
  <c r="H19" i="59"/>
  <c r="G413" i="59"/>
  <c r="G550" i="59"/>
  <c r="H550" i="59"/>
  <c r="G619" i="59"/>
  <c r="H619" i="59"/>
  <c r="G693" i="59"/>
  <c r="H693" i="59"/>
  <c r="A108" i="60"/>
  <c r="E412" i="59"/>
  <c r="E692" i="59"/>
  <c r="A695" i="59"/>
  <c r="E618" i="59"/>
  <c r="A621" i="59"/>
  <c r="E549" i="59"/>
  <c r="A552" i="59"/>
  <c r="H413" i="59"/>
  <c r="A415" i="59"/>
  <c r="A21" i="59"/>
  <c r="G20" i="59" l="1"/>
  <c r="H20" i="59"/>
  <c r="G414" i="59"/>
  <c r="H414" i="59"/>
  <c r="G551" i="59"/>
  <c r="H551" i="59"/>
  <c r="G620" i="59"/>
  <c r="H620" i="59"/>
  <c r="G694" i="59"/>
  <c r="H694" i="59"/>
  <c r="A109" i="60"/>
  <c r="E413" i="59"/>
  <c r="E693" i="59"/>
  <c r="E619" i="59"/>
  <c r="A696" i="59"/>
  <c r="A622" i="59"/>
  <c r="A553" i="59"/>
  <c r="E550" i="59"/>
  <c r="A416" i="59"/>
  <c r="A22" i="59"/>
  <c r="F398" i="47"/>
  <c r="G21" i="59" l="1"/>
  <c r="H21" i="59"/>
  <c r="G415" i="59"/>
  <c r="H415" i="59"/>
  <c r="G552" i="59"/>
  <c r="H552" i="59"/>
  <c r="H621" i="59"/>
  <c r="G621" i="59"/>
  <c r="G695" i="59"/>
  <c r="H695" i="59"/>
  <c r="A110" i="60"/>
  <c r="E551" i="59"/>
  <c r="E414" i="59"/>
  <c r="E694" i="59"/>
  <c r="E620" i="59"/>
  <c r="A697" i="59"/>
  <c r="A623" i="59"/>
  <c r="A554" i="59"/>
  <c r="A417" i="59"/>
  <c r="A23" i="59"/>
  <c r="G22" i="59" l="1"/>
  <c r="H22" i="59"/>
  <c r="G416" i="59"/>
  <c r="H416" i="59"/>
  <c r="G553" i="59"/>
  <c r="H553" i="59"/>
  <c r="G622" i="59"/>
  <c r="H622" i="59"/>
  <c r="G696" i="59"/>
  <c r="H696" i="59"/>
  <c r="A111" i="60"/>
  <c r="E552" i="59"/>
  <c r="E415" i="59"/>
  <c r="E695" i="59"/>
  <c r="A698" i="59"/>
  <c r="E621" i="59"/>
  <c r="A624" i="59"/>
  <c r="A555" i="59"/>
  <c r="A418" i="59"/>
  <c r="A24" i="59"/>
  <c r="G12" i="6"/>
  <c r="G23" i="59" l="1"/>
  <c r="H23" i="59"/>
  <c r="H417" i="59"/>
  <c r="G417" i="59"/>
  <c r="G554" i="59"/>
  <c r="H554" i="59"/>
  <c r="G623" i="59"/>
  <c r="G697" i="59"/>
  <c r="H697" i="59"/>
  <c r="A112" i="60"/>
  <c r="E416" i="59"/>
  <c r="E553" i="59"/>
  <c r="A699" i="59"/>
  <c r="E696" i="59"/>
  <c r="H623" i="59"/>
  <c r="A625" i="59"/>
  <c r="E622" i="59"/>
  <c r="A556" i="59"/>
  <c r="A419" i="59"/>
  <c r="A25" i="5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G24" i="59" l="1"/>
  <c r="H24" i="59"/>
  <c r="G418" i="59"/>
  <c r="H418" i="59"/>
  <c r="G555" i="59"/>
  <c r="H555" i="59"/>
  <c r="G624" i="59"/>
  <c r="G698" i="59"/>
  <c r="H698" i="59"/>
  <c r="A113" i="60"/>
  <c r="E417" i="59"/>
  <c r="E697" i="59"/>
  <c r="A700" i="59"/>
  <c r="H624" i="59"/>
  <c r="A626" i="59"/>
  <c r="E623" i="59"/>
  <c r="A557" i="59"/>
  <c r="E554" i="59"/>
  <c r="A420" i="59"/>
  <c r="A26" i="59"/>
  <c r="G25" i="59" l="1"/>
  <c r="H25" i="59"/>
  <c r="G419" i="59"/>
  <c r="H419" i="59"/>
  <c r="G556" i="59"/>
  <c r="H556" i="59"/>
  <c r="G625" i="59"/>
  <c r="G699" i="59"/>
  <c r="H699" i="59"/>
  <c r="A114" i="60"/>
  <c r="E555" i="59"/>
  <c r="E418" i="59"/>
  <c r="E624" i="59"/>
  <c r="A701" i="59"/>
  <c r="E698" i="59"/>
  <c r="A627" i="59"/>
  <c r="H625" i="59"/>
  <c r="A558" i="59"/>
  <c r="A421" i="59"/>
  <c r="A27" i="59"/>
  <c r="G26" i="59" l="1"/>
  <c r="H26" i="59"/>
  <c r="G420" i="59"/>
  <c r="H420" i="59"/>
  <c r="G557" i="59"/>
  <c r="H557" i="59"/>
  <c r="G626" i="59"/>
  <c r="G700" i="59"/>
  <c r="H700" i="59"/>
  <c r="A115" i="60"/>
  <c r="E419" i="59"/>
  <c r="E625" i="59"/>
  <c r="E699" i="59"/>
  <c r="A702" i="59"/>
  <c r="A628" i="59"/>
  <c r="H626" i="59"/>
  <c r="A559" i="59"/>
  <c r="E556" i="59"/>
  <c r="A422" i="59"/>
  <c r="A28" i="59"/>
  <c r="G27" i="59" l="1"/>
  <c r="H27" i="59"/>
  <c r="G421" i="59"/>
  <c r="H421" i="59"/>
  <c r="G558" i="59"/>
  <c r="H558" i="59"/>
  <c r="G627" i="59"/>
  <c r="G701" i="59"/>
  <c r="H701" i="59"/>
  <c r="A116" i="60"/>
  <c r="E626" i="59"/>
  <c r="E700" i="59"/>
  <c r="A703" i="59"/>
  <c r="H627" i="59"/>
  <c r="A629" i="59"/>
  <c r="E557" i="59"/>
  <c r="A560" i="59"/>
  <c r="A423" i="59"/>
  <c r="E420" i="59"/>
  <c r="A29" i="59"/>
  <c r="G28" i="59" l="1"/>
  <c r="H28" i="59"/>
  <c r="G422" i="59"/>
  <c r="H422" i="59"/>
  <c r="G559" i="59"/>
  <c r="H559" i="59"/>
  <c r="G628" i="59"/>
  <c r="H628" i="59"/>
  <c r="G702" i="59"/>
  <c r="H702" i="59"/>
  <c r="A117" i="60"/>
  <c r="E627" i="59"/>
  <c r="E421" i="59"/>
  <c r="E701" i="59"/>
  <c r="A704" i="59"/>
  <c r="A630" i="59"/>
  <c r="E558" i="59"/>
  <c r="A561" i="59"/>
  <c r="A424" i="59"/>
  <c r="A30" i="59"/>
  <c r="G29" i="6"/>
  <c r="I29" i="6"/>
  <c r="K29" i="6"/>
  <c r="G29" i="59" l="1"/>
  <c r="H29" i="59"/>
  <c r="G423" i="59"/>
  <c r="H423" i="59"/>
  <c r="G560" i="59"/>
  <c r="H560" i="59"/>
  <c r="G629" i="59"/>
  <c r="H629" i="59"/>
  <c r="G703" i="59"/>
  <c r="H703" i="59"/>
  <c r="A118" i="60"/>
  <c r="E702" i="59"/>
  <c r="A705" i="59"/>
  <c r="E628" i="59"/>
  <c r="A631" i="59"/>
  <c r="E559" i="59"/>
  <c r="A562" i="59"/>
  <c r="E422" i="59"/>
  <c r="A425" i="59"/>
  <c r="A31" i="59"/>
  <c r="G30" i="59" l="1"/>
  <c r="H30" i="59"/>
  <c r="G424" i="59"/>
  <c r="H424" i="59"/>
  <c r="H561" i="59"/>
  <c r="G561" i="59"/>
  <c r="G630" i="59"/>
  <c r="H630" i="59"/>
  <c r="G704" i="59"/>
  <c r="H704" i="59"/>
  <c r="A119" i="60"/>
  <c r="E703" i="59"/>
  <c r="E423" i="59"/>
  <c r="A706" i="59"/>
  <c r="E629" i="59"/>
  <c r="A632" i="59"/>
  <c r="E560" i="59"/>
  <c r="A563" i="59"/>
  <c r="A426" i="59"/>
  <c r="A32" i="59"/>
  <c r="G31" i="59" l="1"/>
  <c r="H31" i="59"/>
  <c r="G425" i="59"/>
  <c r="H425" i="59"/>
  <c r="G562" i="59"/>
  <c r="G631" i="59"/>
  <c r="H631" i="59"/>
  <c r="H705" i="59"/>
  <c r="G705" i="59"/>
  <c r="A120" i="60"/>
  <c r="E424" i="59"/>
  <c r="E704" i="59"/>
  <c r="A707" i="59"/>
  <c r="E630" i="59"/>
  <c r="A633" i="59"/>
  <c r="E561" i="59"/>
  <c r="H562" i="59"/>
  <c r="A564" i="59"/>
  <c r="A427" i="59"/>
  <c r="A33" i="59"/>
  <c r="G32" i="59" l="1"/>
  <c r="H32" i="59"/>
  <c r="G426" i="59"/>
  <c r="H426" i="59"/>
  <c r="G563" i="59"/>
  <c r="G632" i="59"/>
  <c r="H632" i="59"/>
  <c r="G706" i="59"/>
  <c r="H706" i="59"/>
  <c r="A121" i="60"/>
  <c r="E425" i="59"/>
  <c r="E631" i="59"/>
  <c r="E562" i="59"/>
  <c r="E705" i="59"/>
  <c r="A708" i="59"/>
  <c r="A634" i="59"/>
  <c r="H563" i="59"/>
  <c r="A565" i="59"/>
  <c r="A428" i="59"/>
  <c r="A34" i="59"/>
  <c r="G33" i="59" l="1"/>
  <c r="H33" i="59"/>
  <c r="G427" i="59"/>
  <c r="H427" i="59"/>
  <c r="G564" i="59"/>
  <c r="H633" i="59"/>
  <c r="G633" i="59"/>
  <c r="G707" i="59"/>
  <c r="H707" i="59"/>
  <c r="A122" i="60"/>
  <c r="E563" i="59"/>
  <c r="E706" i="59"/>
  <c r="A709" i="59"/>
  <c r="E632" i="59"/>
  <c r="A635" i="59"/>
  <c r="H564" i="59"/>
  <c r="A566" i="59"/>
  <c r="A429" i="59"/>
  <c r="E426" i="59"/>
  <c r="A35" i="59"/>
  <c r="B42" i="44"/>
  <c r="B35" i="44"/>
  <c r="B36" i="44"/>
  <c r="B38" i="44"/>
  <c r="B40" i="44"/>
  <c r="B41" i="44"/>
  <c r="B43" i="44"/>
  <c r="B44" i="44"/>
  <c r="B45" i="44"/>
  <c r="B46" i="44"/>
  <c r="B47" i="44" l="1"/>
  <c r="C37" i="44" s="1"/>
  <c r="G34" i="59"/>
  <c r="H34" i="59"/>
  <c r="G428" i="59"/>
  <c r="H428" i="59"/>
  <c r="G565" i="59"/>
  <c r="G634" i="59"/>
  <c r="H634" i="59"/>
  <c r="G708" i="59"/>
  <c r="H708" i="59"/>
  <c r="A123" i="60"/>
  <c r="E633" i="59"/>
  <c r="E707" i="59"/>
  <c r="E427" i="59"/>
  <c r="A710" i="59"/>
  <c r="A636" i="59"/>
  <c r="E564" i="59"/>
  <c r="A567" i="59"/>
  <c r="H565" i="59"/>
  <c r="A430" i="59"/>
  <c r="A36" i="59"/>
  <c r="D31" i="56"/>
  <c r="E31" i="56"/>
  <c r="F31" i="56"/>
  <c r="G31" i="56"/>
  <c r="H31" i="56"/>
  <c r="I31" i="56"/>
  <c r="J31" i="56"/>
  <c r="K31" i="56"/>
  <c r="L31" i="56"/>
  <c r="M31" i="56"/>
  <c r="N31" i="56"/>
  <c r="O31" i="56"/>
  <c r="D47" i="44" l="1"/>
  <c r="C10" i="29"/>
  <c r="G35" i="59"/>
  <c r="H35" i="59"/>
  <c r="H429" i="59"/>
  <c r="G429" i="59"/>
  <c r="G566" i="59"/>
  <c r="G635" i="59"/>
  <c r="H635" i="59"/>
  <c r="G709" i="59"/>
  <c r="H709" i="59"/>
  <c r="A124" i="60"/>
  <c r="E428" i="59"/>
  <c r="E708" i="59"/>
  <c r="A711" i="59"/>
  <c r="E634" i="59"/>
  <c r="A637" i="59"/>
  <c r="H566" i="59"/>
  <c r="A568" i="59"/>
  <c r="E565" i="59"/>
  <c r="A431" i="59"/>
  <c r="A37" i="59"/>
  <c r="G36" i="59" l="1"/>
  <c r="H36" i="59"/>
  <c r="G430" i="59"/>
  <c r="H430" i="59"/>
  <c r="G567" i="59"/>
  <c r="H567" i="59"/>
  <c r="G636" i="59"/>
  <c r="H636" i="59"/>
  <c r="G710" i="59"/>
  <c r="H710" i="59"/>
  <c r="A125" i="60"/>
  <c r="E709" i="59"/>
  <c r="E429" i="59"/>
  <c r="A712" i="59"/>
  <c r="E635" i="59"/>
  <c r="A638" i="59"/>
  <c r="E566" i="59"/>
  <c r="A569" i="59"/>
  <c r="A432" i="59"/>
  <c r="A38" i="59"/>
  <c r="F72" i="43"/>
  <c r="G37" i="59" l="1"/>
  <c r="H37" i="59"/>
  <c r="G431" i="59"/>
  <c r="H431" i="59"/>
  <c r="G568" i="59"/>
  <c r="H568" i="59"/>
  <c r="G637" i="59"/>
  <c r="H637" i="59"/>
  <c r="G711" i="59"/>
  <c r="H711" i="59"/>
  <c r="A126" i="60"/>
  <c r="E710" i="59"/>
  <c r="E430" i="59"/>
  <c r="A713" i="59"/>
  <c r="E636" i="59"/>
  <c r="A639" i="59"/>
  <c r="E567" i="59"/>
  <c r="A570" i="59"/>
  <c r="A433" i="59"/>
  <c r="A39" i="59"/>
  <c r="G38" i="59" l="1"/>
  <c r="H38" i="59"/>
  <c r="G432" i="59"/>
  <c r="H432" i="59"/>
  <c r="H569" i="59"/>
  <c r="G569" i="59"/>
  <c r="G638" i="59"/>
  <c r="H638" i="59"/>
  <c r="G712" i="59"/>
  <c r="H712" i="59"/>
  <c r="A127" i="60"/>
  <c r="E568" i="59"/>
  <c r="E711" i="59"/>
  <c r="A714" i="59"/>
  <c r="E637" i="59"/>
  <c r="A640" i="59"/>
  <c r="A571" i="59"/>
  <c r="E431" i="59"/>
  <c r="A434" i="59"/>
  <c r="A40" i="59"/>
  <c r="K70" i="43"/>
  <c r="K71" i="43"/>
  <c r="K72" i="43"/>
  <c r="K73" i="43"/>
  <c r="K75" i="43"/>
  <c r="K76" i="43" l="1"/>
  <c r="J70" i="43"/>
  <c r="G39" i="59"/>
  <c r="H39" i="59"/>
  <c r="H433" i="59"/>
  <c r="G433" i="59"/>
  <c r="G570" i="59"/>
  <c r="H570" i="59"/>
  <c r="G639" i="59"/>
  <c r="H639" i="59"/>
  <c r="H713" i="59"/>
  <c r="G713" i="59"/>
  <c r="A128" i="60"/>
  <c r="E569" i="59"/>
  <c r="E432" i="59"/>
  <c r="A715" i="59"/>
  <c r="E712" i="59"/>
  <c r="A641" i="59"/>
  <c r="E638" i="59"/>
  <c r="A572" i="59"/>
  <c r="A435" i="59"/>
  <c r="A41" i="59"/>
  <c r="B67" i="43"/>
  <c r="B80" i="43"/>
  <c r="B79" i="43"/>
  <c r="G40" i="59" l="1"/>
  <c r="H40" i="59"/>
  <c r="G434" i="59"/>
  <c r="H434" i="59"/>
  <c r="G571" i="59"/>
  <c r="H571" i="59"/>
  <c r="G640" i="59"/>
  <c r="H640" i="59"/>
  <c r="G714" i="59"/>
  <c r="H714" i="59"/>
  <c r="A129" i="60"/>
  <c r="E433" i="59"/>
  <c r="E639" i="59"/>
  <c r="A716" i="59"/>
  <c r="E713" i="59"/>
  <c r="A642" i="59"/>
  <c r="A573" i="59"/>
  <c r="E570" i="59"/>
  <c r="A436" i="59"/>
  <c r="A42" i="59"/>
  <c r="G41" i="59" l="1"/>
  <c r="H41" i="59"/>
  <c r="G435" i="59"/>
  <c r="H435" i="59"/>
  <c r="G572" i="59"/>
  <c r="H572" i="59"/>
  <c r="H641" i="59"/>
  <c r="G641" i="59"/>
  <c r="G715" i="59"/>
  <c r="A130" i="60"/>
  <c r="E571" i="59"/>
  <c r="E714" i="59"/>
  <c r="E640" i="59"/>
  <c r="E434" i="59"/>
  <c r="A717" i="59"/>
  <c r="H715" i="59"/>
  <c r="A643" i="59"/>
  <c r="A574" i="59"/>
  <c r="A437" i="59"/>
  <c r="A43" i="59"/>
  <c r="B109" i="44"/>
  <c r="G42" i="59" l="1"/>
  <c r="H42" i="59"/>
  <c r="G436" i="59"/>
  <c r="H436" i="59"/>
  <c r="G573" i="59"/>
  <c r="H573" i="59"/>
  <c r="G642" i="59"/>
  <c r="H642" i="59"/>
  <c r="G716" i="59"/>
  <c r="A131" i="60"/>
  <c r="E641" i="59"/>
  <c r="H716" i="59"/>
  <c r="E715" i="59"/>
  <c r="A718" i="59"/>
  <c r="A644" i="59"/>
  <c r="E572" i="59"/>
  <c r="A575" i="59"/>
  <c r="A438" i="59"/>
  <c r="E435" i="59"/>
  <c r="A44" i="59"/>
  <c r="G43" i="59" l="1"/>
  <c r="H43" i="59"/>
  <c r="G437" i="59"/>
  <c r="H437" i="59"/>
  <c r="G574" i="59"/>
  <c r="H574" i="59"/>
  <c r="G643" i="59"/>
  <c r="H643" i="59"/>
  <c r="G717" i="59"/>
  <c r="A132" i="60"/>
  <c r="E573" i="59"/>
  <c r="E716" i="59"/>
  <c r="H717" i="59"/>
  <c r="A719" i="59"/>
  <c r="A645" i="59"/>
  <c r="E642" i="59"/>
  <c r="A576" i="59"/>
  <c r="A439" i="59"/>
  <c r="E436" i="59"/>
  <c r="A45" i="59"/>
  <c r="G44" i="59" l="1"/>
  <c r="G438" i="59"/>
  <c r="H438" i="59"/>
  <c r="G575" i="59"/>
  <c r="H575" i="59"/>
  <c r="G644" i="59"/>
  <c r="H644" i="59"/>
  <c r="G718" i="59"/>
  <c r="A133" i="60"/>
  <c r="E437" i="59"/>
  <c r="E643" i="59"/>
  <c r="E717" i="59"/>
  <c r="H718" i="59"/>
  <c r="A720" i="59"/>
  <c r="A646" i="59"/>
  <c r="E574" i="59"/>
  <c r="A577" i="59"/>
  <c r="A440" i="59"/>
  <c r="A46" i="59"/>
  <c r="G45" i="59" l="1"/>
  <c r="G439" i="59"/>
  <c r="H439" i="59"/>
  <c r="G576" i="59"/>
  <c r="H576" i="59"/>
  <c r="H645" i="59"/>
  <c r="G645" i="59"/>
  <c r="G719" i="59"/>
  <c r="A134" i="60"/>
  <c r="E438" i="59"/>
  <c r="E644" i="59"/>
  <c r="E575" i="59"/>
  <c r="E718" i="59"/>
  <c r="A721" i="59"/>
  <c r="H719" i="59"/>
  <c r="A647" i="59"/>
  <c r="A578" i="59"/>
  <c r="A441" i="59"/>
  <c r="A47" i="59"/>
  <c r="E18" i="40"/>
  <c r="G46" i="59" l="1"/>
  <c r="G440" i="59"/>
  <c r="G577" i="59"/>
  <c r="H577" i="59"/>
  <c r="G646" i="59"/>
  <c r="H646" i="59"/>
  <c r="G720" i="59"/>
  <c r="H720" i="59"/>
  <c r="A135" i="60"/>
  <c r="E439" i="59"/>
  <c r="E645" i="59"/>
  <c r="E576" i="59"/>
  <c r="A722" i="59"/>
  <c r="E719" i="59"/>
  <c r="A648" i="59"/>
  <c r="A579" i="59"/>
  <c r="A442" i="59"/>
  <c r="H440" i="59"/>
  <c r="A48" i="59"/>
  <c r="N64" i="65"/>
  <c r="G47" i="59" l="1"/>
  <c r="G441" i="59"/>
  <c r="G578" i="59"/>
  <c r="H578" i="59"/>
  <c r="G647" i="59"/>
  <c r="H647" i="59"/>
  <c r="G721" i="59"/>
  <c r="H721" i="59"/>
  <c r="A136" i="60"/>
  <c r="E720" i="59"/>
  <c r="E646" i="59"/>
  <c r="E577" i="59"/>
  <c r="E440" i="59"/>
  <c r="A723" i="59"/>
  <c r="A649" i="59"/>
  <c r="A580" i="59"/>
  <c r="H441" i="59"/>
  <c r="A443" i="59"/>
  <c r="A49" i="59"/>
  <c r="G48" i="59" l="1"/>
  <c r="H48" i="59"/>
  <c r="G442" i="59"/>
  <c r="G579" i="59"/>
  <c r="H579" i="59"/>
  <c r="G648" i="59"/>
  <c r="H648" i="59"/>
  <c r="G722" i="59"/>
  <c r="H722" i="59"/>
  <c r="A137" i="60"/>
  <c r="E441" i="59"/>
  <c r="E647" i="59"/>
  <c r="E578" i="59"/>
  <c r="E721" i="59"/>
  <c r="A724" i="59"/>
  <c r="A650" i="59"/>
  <c r="A581" i="59"/>
  <c r="A444" i="59"/>
  <c r="H442" i="59"/>
  <c r="A50" i="59"/>
  <c r="G49" i="59" l="1"/>
  <c r="H49" i="59"/>
  <c r="G443" i="59"/>
  <c r="G580" i="59"/>
  <c r="H580" i="59"/>
  <c r="G649" i="59"/>
  <c r="H649" i="59"/>
  <c r="G723" i="59"/>
  <c r="H723" i="59"/>
  <c r="A138" i="60"/>
  <c r="E648" i="59"/>
  <c r="E442" i="59"/>
  <c r="E722" i="59"/>
  <c r="E579" i="59"/>
  <c r="A725" i="59"/>
  <c r="A651" i="59"/>
  <c r="F581" i="59"/>
  <c r="A582" i="59"/>
  <c r="H443" i="59"/>
  <c r="A445" i="59"/>
  <c r="A51" i="59"/>
  <c r="F2" i="59"/>
  <c r="C4" i="49"/>
  <c r="G50" i="59" l="1"/>
  <c r="H50" i="59"/>
  <c r="G444" i="59"/>
  <c r="G581" i="59"/>
  <c r="H581" i="59"/>
  <c r="G650" i="59"/>
  <c r="H650" i="59"/>
  <c r="G724" i="59"/>
  <c r="H724" i="59"/>
  <c r="A139" i="60"/>
  <c r="E649" i="59"/>
  <c r="A726" i="59"/>
  <c r="E723" i="59"/>
  <c r="A652" i="59"/>
  <c r="A583" i="59"/>
  <c r="E580" i="59"/>
  <c r="E443" i="59"/>
  <c r="A446" i="59"/>
  <c r="H444" i="59"/>
  <c r="A52" i="59"/>
  <c r="H46" i="59"/>
  <c r="H45" i="59"/>
  <c r="H2" i="59"/>
  <c r="H44" i="59"/>
  <c r="H16" i="59"/>
  <c r="H47" i="59"/>
  <c r="G2" i="59"/>
  <c r="G51" i="59" l="1"/>
  <c r="H51" i="59"/>
  <c r="G445" i="59"/>
  <c r="H445" i="59"/>
  <c r="G582" i="59"/>
  <c r="H582" i="59"/>
  <c r="G651" i="59"/>
  <c r="H651" i="59"/>
  <c r="G725" i="59"/>
  <c r="H725" i="59"/>
  <c r="A140" i="60"/>
  <c r="A727" i="59"/>
  <c r="E724" i="59"/>
  <c r="E650" i="59"/>
  <c r="A653" i="59"/>
  <c r="A584" i="59"/>
  <c r="E581" i="59"/>
  <c r="E444" i="59"/>
  <c r="A447" i="59"/>
  <c r="A53" i="59"/>
  <c r="E14" i="59"/>
  <c r="E18" i="59"/>
  <c r="E8" i="59"/>
  <c r="E44" i="59"/>
  <c r="E9" i="59"/>
  <c r="E13" i="59"/>
  <c r="E21" i="59"/>
  <c r="E5" i="59"/>
  <c r="E10" i="59"/>
  <c r="E17" i="59"/>
  <c r="E20" i="59"/>
  <c r="E24" i="59"/>
  <c r="E40" i="59"/>
  <c r="E25" i="59"/>
  <c r="E33" i="59"/>
  <c r="E16" i="59"/>
  <c r="E49" i="59"/>
  <c r="E12" i="59"/>
  <c r="E28" i="59"/>
  <c r="E32" i="59"/>
  <c r="E6" i="59"/>
  <c r="E22" i="59"/>
  <c r="E26" i="59"/>
  <c r="E30" i="59"/>
  <c r="E34" i="59"/>
  <c r="E38" i="59"/>
  <c r="E42" i="59"/>
  <c r="E46" i="59"/>
  <c r="E50" i="59"/>
  <c r="E31" i="59"/>
  <c r="E35" i="59"/>
  <c r="E29" i="59"/>
  <c r="E4" i="59"/>
  <c r="E36" i="59"/>
  <c r="E48" i="59"/>
  <c r="E41" i="59"/>
  <c r="E23" i="59"/>
  <c r="E39" i="59"/>
  <c r="E43" i="59"/>
  <c r="E19" i="59"/>
  <c r="E7" i="59"/>
  <c r="E27" i="59"/>
  <c r="E47" i="59"/>
  <c r="E11" i="59"/>
  <c r="E3" i="59"/>
  <c r="E15" i="59"/>
  <c r="E37" i="59"/>
  <c r="E45" i="59"/>
  <c r="E2" i="59"/>
  <c r="G52" i="59" l="1"/>
  <c r="H52" i="59"/>
  <c r="G446" i="59"/>
  <c r="H446" i="59"/>
  <c r="G583" i="59"/>
  <c r="H583" i="59"/>
  <c r="G652" i="59"/>
  <c r="H652" i="59"/>
  <c r="G726" i="59"/>
  <c r="H726" i="59"/>
  <c r="E51" i="59"/>
  <c r="A141" i="60"/>
  <c r="E582" i="59"/>
  <c r="E725" i="59"/>
  <c r="A728" i="59"/>
  <c r="A654" i="59"/>
  <c r="E651" i="59"/>
  <c r="A585" i="59"/>
  <c r="E445" i="59"/>
  <c r="A448" i="59"/>
  <c r="A54" i="59"/>
  <c r="N145" i="44"/>
  <c r="N307" i="44" l="1"/>
  <c r="N308" i="44"/>
  <c r="N304" i="44"/>
  <c r="N305" i="44"/>
  <c r="N149" i="44"/>
  <c r="N152" i="44"/>
  <c r="N154" i="44"/>
  <c r="N156" i="44"/>
  <c r="N146" i="44"/>
  <c r="N147" i="44"/>
  <c r="N148" i="44"/>
  <c r="N150" i="44"/>
  <c r="N151" i="44"/>
  <c r="N153" i="44"/>
  <c r="N155" i="44"/>
  <c r="N157" i="44"/>
  <c r="N144" i="44"/>
  <c r="G53" i="59"/>
  <c r="H53" i="59"/>
  <c r="G447" i="59"/>
  <c r="H447" i="59"/>
  <c r="G584" i="59"/>
  <c r="H584" i="59"/>
  <c r="G653" i="59"/>
  <c r="H653" i="59"/>
  <c r="G727" i="59"/>
  <c r="H727" i="59"/>
  <c r="E52" i="59"/>
  <c r="A142" i="60"/>
  <c r="E583" i="59"/>
  <c r="E726" i="59"/>
  <c r="A729" i="59"/>
  <c r="A655" i="59"/>
  <c r="E652" i="59"/>
  <c r="A586" i="59"/>
  <c r="A449" i="59"/>
  <c r="E446" i="59"/>
  <c r="A55" i="59"/>
  <c r="E76" i="43"/>
  <c r="N168" i="44" l="1"/>
  <c r="N160" i="44"/>
  <c r="N158" i="44"/>
  <c r="N306" i="44"/>
  <c r="P305" i="44" s="1"/>
  <c r="N309" i="44"/>
  <c r="P308" i="44" s="1"/>
  <c r="N169" i="44"/>
  <c r="N161" i="44"/>
  <c r="G54" i="59"/>
  <c r="H54" i="59"/>
  <c r="G448" i="59"/>
  <c r="H448" i="59"/>
  <c r="H585" i="59"/>
  <c r="G585" i="59"/>
  <c r="G654" i="59"/>
  <c r="G728" i="59"/>
  <c r="H728" i="59"/>
  <c r="A143" i="60"/>
  <c r="E53" i="59"/>
  <c r="E727" i="59"/>
  <c r="E447" i="59"/>
  <c r="E584" i="59"/>
  <c r="A730" i="59"/>
  <c r="E653" i="59"/>
  <c r="H654" i="59"/>
  <c r="A656" i="59"/>
  <c r="A587" i="59"/>
  <c r="A450" i="59"/>
  <c r="A56" i="59"/>
  <c r="G53" i="56"/>
  <c r="P307" i="44" l="1"/>
  <c r="P304" i="44"/>
  <c r="N170" i="44"/>
  <c r="N162" i="44"/>
  <c r="N310" i="44"/>
  <c r="N171" i="44"/>
  <c r="N163" i="44"/>
  <c r="G55" i="59"/>
  <c r="H55" i="59"/>
  <c r="H449" i="59"/>
  <c r="G449" i="59"/>
  <c r="G586" i="59"/>
  <c r="H586" i="59"/>
  <c r="G655" i="59"/>
  <c r="G729" i="59"/>
  <c r="H729" i="59"/>
  <c r="A144" i="60"/>
  <c r="E54" i="59"/>
  <c r="E448" i="59"/>
  <c r="E728" i="59"/>
  <c r="A731" i="59"/>
  <c r="E654" i="59"/>
  <c r="H655" i="59"/>
  <c r="A657" i="59"/>
  <c r="E585" i="59"/>
  <c r="A588" i="59"/>
  <c r="A451" i="59"/>
  <c r="A57" i="59"/>
  <c r="F52" i="56"/>
  <c r="G56" i="59" l="1"/>
  <c r="H56" i="59"/>
  <c r="G450" i="59"/>
  <c r="H450" i="59"/>
  <c r="G587" i="59"/>
  <c r="H587" i="59"/>
  <c r="G656" i="59"/>
  <c r="G730" i="59"/>
  <c r="H730" i="59"/>
  <c r="E586" i="59"/>
  <c r="A145" i="60"/>
  <c r="E655" i="59"/>
  <c r="A732" i="59"/>
  <c r="E729" i="59"/>
  <c r="H656" i="59"/>
  <c r="A658" i="59"/>
  <c r="A589" i="59"/>
  <c r="E449" i="59"/>
  <c r="A452" i="59"/>
  <c r="A58" i="59"/>
  <c r="E55" i="59"/>
  <c r="E56" i="56"/>
  <c r="E54" i="56"/>
  <c r="E58" i="56"/>
  <c r="E57" i="56"/>
  <c r="E53" i="56"/>
  <c r="E55" i="56"/>
  <c r="E52" i="56"/>
  <c r="G57" i="59" l="1"/>
  <c r="H57" i="59"/>
  <c r="G451" i="59"/>
  <c r="H451" i="59"/>
  <c r="G588" i="59"/>
  <c r="H588" i="59"/>
  <c r="G657" i="59"/>
  <c r="G731" i="59"/>
  <c r="H731" i="59"/>
  <c r="A146" i="60"/>
  <c r="E656" i="59"/>
  <c r="E730" i="59"/>
  <c r="A733" i="59"/>
  <c r="H657" i="59"/>
  <c r="A659" i="59"/>
  <c r="A590" i="59"/>
  <c r="E587" i="59"/>
  <c r="E450" i="59"/>
  <c r="A453" i="59"/>
  <c r="A59" i="59"/>
  <c r="E56" i="59"/>
  <c r="G58" i="59" l="1"/>
  <c r="H58" i="59"/>
  <c r="G452" i="59"/>
  <c r="H452" i="59"/>
  <c r="H589" i="59"/>
  <c r="G589" i="59"/>
  <c r="G658" i="59"/>
  <c r="G732" i="59"/>
  <c r="H732" i="59"/>
  <c r="E657" i="59"/>
  <c r="A147" i="60"/>
  <c r="E731" i="59"/>
  <c r="E451" i="59"/>
  <c r="A734" i="59"/>
  <c r="A660" i="59"/>
  <c r="H658" i="59"/>
  <c r="E588" i="59"/>
  <c r="A591" i="59"/>
  <c r="A454" i="59"/>
  <c r="E57" i="59"/>
  <c r="A60" i="59"/>
  <c r="B94" i="44"/>
  <c r="G59" i="59" l="1"/>
  <c r="H59" i="59"/>
  <c r="G453" i="59"/>
  <c r="H453" i="59"/>
  <c r="G590" i="59"/>
  <c r="H590" i="59"/>
  <c r="G659" i="59"/>
  <c r="H659" i="59"/>
  <c r="H733" i="59"/>
  <c r="G733" i="59"/>
  <c r="A148" i="60"/>
  <c r="E452" i="59"/>
  <c r="E58" i="59"/>
  <c r="A735" i="59"/>
  <c r="E732" i="59"/>
  <c r="E658" i="59"/>
  <c r="A661" i="59"/>
  <c r="E589" i="59"/>
  <c r="A592" i="59"/>
  <c r="A455" i="59"/>
  <c r="A61" i="59"/>
  <c r="G60" i="59" l="1"/>
  <c r="H60" i="59"/>
  <c r="G454" i="59"/>
  <c r="H454" i="59"/>
  <c r="G591" i="59"/>
  <c r="H591" i="59"/>
  <c r="G660" i="59"/>
  <c r="H660" i="59"/>
  <c r="G734" i="59"/>
  <c r="H734" i="59"/>
  <c r="A149" i="60"/>
  <c r="E733" i="59"/>
  <c r="E590" i="59"/>
  <c r="E59" i="59"/>
  <c r="A736" i="59"/>
  <c r="E659" i="59"/>
  <c r="A662" i="59"/>
  <c r="A593" i="59"/>
  <c r="E453" i="59"/>
  <c r="A456" i="59"/>
  <c r="A62" i="59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7" i="56"/>
  <c r="H238" i="56"/>
  <c r="H239" i="56"/>
  <c r="H240" i="56"/>
  <c r="H241" i="56"/>
  <c r="H242" i="56"/>
  <c r="H243" i="56"/>
  <c r="H244" i="56"/>
  <c r="H245" i="56"/>
  <c r="H246" i="56"/>
  <c r="H251" i="56"/>
  <c r="H252" i="56"/>
  <c r="H253" i="56"/>
  <c r="H254" i="56"/>
  <c r="H255" i="56"/>
  <c r="H256" i="56"/>
  <c r="H257" i="56"/>
  <c r="H258" i="56"/>
  <c r="H263" i="56"/>
  <c r="H266" i="56"/>
  <c r="H267" i="56"/>
  <c r="H271" i="56"/>
  <c r="H274" i="56"/>
  <c r="H275" i="56"/>
  <c r="H276" i="56"/>
  <c r="H277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12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2" i="56"/>
  <c r="H363" i="56"/>
  <c r="H364" i="56"/>
  <c r="H365" i="56"/>
  <c r="H366" i="56"/>
  <c r="H367" i="56"/>
  <c r="H368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4" i="56"/>
  <c r="H405" i="56"/>
  <c r="H406" i="56"/>
  <c r="H407" i="56"/>
  <c r="H408" i="56"/>
  <c r="H409" i="56"/>
  <c r="H410" i="56"/>
  <c r="H411" i="56"/>
  <c r="H412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3" i="56"/>
  <c r="H434" i="56"/>
  <c r="H435" i="56"/>
  <c r="H436" i="56"/>
  <c r="H437" i="56"/>
  <c r="H441" i="56"/>
  <c r="H443" i="56"/>
  <c r="H445" i="56"/>
  <c r="H447" i="56"/>
  <c r="H448" i="56"/>
  <c r="H449" i="56"/>
  <c r="H450" i="56"/>
  <c r="H451" i="56"/>
  <c r="H452" i="56"/>
  <c r="H453" i="56"/>
  <c r="H454" i="56"/>
  <c r="H455" i="56"/>
  <c r="H456" i="56"/>
  <c r="H457" i="56"/>
  <c r="H458" i="56"/>
  <c r="H459" i="56"/>
  <c r="H464" i="56"/>
  <c r="H465" i="56"/>
  <c r="H466" i="56"/>
  <c r="H467" i="56"/>
  <c r="H468" i="56"/>
  <c r="H469" i="56"/>
  <c r="H470" i="56"/>
  <c r="H471" i="56"/>
  <c r="H473" i="56"/>
  <c r="H476" i="56"/>
  <c r="H477" i="56"/>
  <c r="H479" i="56"/>
  <c r="H481" i="56"/>
  <c r="H483" i="56"/>
  <c r="H485" i="56"/>
  <c r="H486" i="56"/>
  <c r="H487" i="56"/>
  <c r="H488" i="56"/>
  <c r="H489" i="56"/>
  <c r="H490" i="56"/>
  <c r="H495" i="56"/>
  <c r="H496" i="56"/>
  <c r="H497" i="56"/>
  <c r="H498" i="56"/>
  <c r="H499" i="56"/>
  <c r="H500" i="56"/>
  <c r="H501" i="56"/>
  <c r="H502" i="56"/>
  <c r="H504" i="56"/>
  <c r="H505" i="56"/>
  <c r="H507" i="56"/>
  <c r="H510" i="56"/>
  <c r="H513" i="56"/>
  <c r="H515" i="56"/>
  <c r="H516" i="56"/>
  <c r="H517" i="56"/>
  <c r="H518" i="56"/>
  <c r="H519" i="56"/>
  <c r="H520" i="56"/>
  <c r="H525" i="56"/>
  <c r="H526" i="56"/>
  <c r="H527" i="56"/>
  <c r="H528" i="56"/>
  <c r="H529" i="56"/>
  <c r="H530" i="56"/>
  <c r="H531" i="56"/>
  <c r="H536" i="56"/>
  <c r="H537" i="56"/>
  <c r="H539" i="56"/>
  <c r="H540" i="56"/>
  <c r="H541" i="56"/>
  <c r="H542" i="56"/>
  <c r="H543" i="56"/>
  <c r="H544" i="56"/>
  <c r="H545" i="56"/>
  <c r="H546" i="56"/>
  <c r="H547" i="56"/>
  <c r="H548" i="56"/>
  <c r="H549" i="56"/>
  <c r="H550" i="56"/>
  <c r="H551" i="56"/>
  <c r="H556" i="56"/>
  <c r="H557" i="56"/>
  <c r="H558" i="56"/>
  <c r="H559" i="56"/>
  <c r="H561" i="56"/>
  <c r="H562" i="56"/>
  <c r="H563" i="56"/>
  <c r="H565" i="56"/>
  <c r="H567" i="56"/>
  <c r="H568" i="56"/>
  <c r="H569" i="56"/>
  <c r="H571" i="56"/>
  <c r="H573" i="56"/>
  <c r="H574" i="56"/>
  <c r="H575" i="56"/>
  <c r="H576" i="56"/>
  <c r="H577" i="56"/>
  <c r="H578" i="56"/>
  <c r="H579" i="56"/>
  <c r="H580" i="56"/>
  <c r="H581" i="56"/>
  <c r="H586" i="56"/>
  <c r="H587" i="56"/>
  <c r="H589" i="56"/>
  <c r="H592" i="56"/>
  <c r="H594" i="56"/>
  <c r="H595" i="56"/>
  <c r="H597" i="56"/>
  <c r="H599" i="56"/>
  <c r="H600" i="56"/>
  <c r="H601" i="56"/>
  <c r="H603" i="56"/>
  <c r="H605" i="56"/>
  <c r="H607" i="56"/>
  <c r="H608" i="56"/>
  <c r="H609" i="56"/>
  <c r="H610" i="56"/>
  <c r="H611" i="56"/>
  <c r="H612" i="56"/>
  <c r="H617" i="56"/>
  <c r="H618" i="56"/>
  <c r="H619" i="56"/>
  <c r="H621" i="56"/>
  <c r="H626" i="56"/>
  <c r="H627" i="56"/>
  <c r="H629" i="56"/>
  <c r="H631" i="56"/>
  <c r="H632" i="56"/>
  <c r="H633" i="56"/>
  <c r="H635" i="56"/>
  <c r="H637" i="56"/>
  <c r="H638" i="56"/>
  <c r="H639" i="56"/>
  <c r="H640" i="56"/>
  <c r="H641" i="56"/>
  <c r="H642" i="56"/>
  <c r="H643" i="56"/>
  <c r="H648" i="56"/>
  <c r="H649" i="56"/>
  <c r="H650" i="56"/>
  <c r="H651" i="56"/>
  <c r="H652" i="56"/>
  <c r="H653" i="56"/>
  <c r="H654" i="56"/>
  <c r="H655" i="56"/>
  <c r="H656" i="56"/>
  <c r="H657" i="56"/>
  <c r="H658" i="56"/>
  <c r="H659" i="56"/>
  <c r="H660" i="56"/>
  <c r="H661" i="56"/>
  <c r="H662" i="56"/>
  <c r="H663" i="56"/>
  <c r="H664" i="56"/>
  <c r="H665" i="56"/>
  <c r="H666" i="56"/>
  <c r="H667" i="56"/>
  <c r="H668" i="56"/>
  <c r="H669" i="56"/>
  <c r="H670" i="56"/>
  <c r="H671" i="56"/>
  <c r="H672" i="56"/>
  <c r="H673" i="56"/>
  <c r="H678" i="56"/>
  <c r="H679" i="56"/>
  <c r="H680" i="56"/>
  <c r="H681" i="56"/>
  <c r="H682" i="56"/>
  <c r="H683" i="56"/>
  <c r="H684" i="56"/>
  <c r="H685" i="56"/>
  <c r="H686" i="56"/>
  <c r="H687" i="56"/>
  <c r="H688" i="56"/>
  <c r="H689" i="56"/>
  <c r="H690" i="56"/>
  <c r="H691" i="56"/>
  <c r="H692" i="56"/>
  <c r="H693" i="56"/>
  <c r="H694" i="56"/>
  <c r="H695" i="56"/>
  <c r="H696" i="56"/>
  <c r="H697" i="56"/>
  <c r="H698" i="56"/>
  <c r="H699" i="56"/>
  <c r="H700" i="56"/>
  <c r="H701" i="56"/>
  <c r="H702" i="56"/>
  <c r="H703" i="56"/>
  <c r="H709" i="56"/>
  <c r="H710" i="56"/>
  <c r="H711" i="56"/>
  <c r="H712" i="56"/>
  <c r="H713" i="56"/>
  <c r="H714" i="56"/>
  <c r="H715" i="56"/>
  <c r="H716" i="56"/>
  <c r="H717" i="56"/>
  <c r="H718" i="56"/>
  <c r="H719" i="56"/>
  <c r="H720" i="56"/>
  <c r="H721" i="56"/>
  <c r="H722" i="56"/>
  <c r="H723" i="56"/>
  <c r="H724" i="56"/>
  <c r="H725" i="56"/>
  <c r="H726" i="56"/>
  <c r="H727" i="56"/>
  <c r="H728" i="56"/>
  <c r="H729" i="56"/>
  <c r="H730" i="56"/>
  <c r="H731" i="56"/>
  <c r="H732" i="56"/>
  <c r="H733" i="56"/>
  <c r="H734" i="56"/>
  <c r="H739" i="56"/>
  <c r="H740" i="56"/>
  <c r="H741" i="56"/>
  <c r="H742" i="56"/>
  <c r="H743" i="56"/>
  <c r="H744" i="56"/>
  <c r="H745" i="56"/>
  <c r="H746" i="56"/>
  <c r="H747" i="56"/>
  <c r="H748" i="56"/>
  <c r="H749" i="56"/>
  <c r="H750" i="56"/>
  <c r="H751" i="56"/>
  <c r="H752" i="56"/>
  <c r="H753" i="56"/>
  <c r="H754" i="56"/>
  <c r="H755" i="56"/>
  <c r="H756" i="56"/>
  <c r="H757" i="56"/>
  <c r="H758" i="56"/>
  <c r="H759" i="56"/>
  <c r="H760" i="56"/>
  <c r="H761" i="56"/>
  <c r="H762" i="56"/>
  <c r="H763" i="56"/>
  <c r="H764" i="56"/>
  <c r="H770" i="56"/>
  <c r="H771" i="56"/>
  <c r="H772" i="56"/>
  <c r="H773" i="56"/>
  <c r="H774" i="56"/>
  <c r="H775" i="56"/>
  <c r="H776" i="56"/>
  <c r="H777" i="56"/>
  <c r="H778" i="56"/>
  <c r="H779" i="56"/>
  <c r="H780" i="56"/>
  <c r="H781" i="56"/>
  <c r="H782" i="56"/>
  <c r="H783" i="56"/>
  <c r="H784" i="56"/>
  <c r="H785" i="56"/>
  <c r="H786" i="56"/>
  <c r="H787" i="56"/>
  <c r="H788" i="56"/>
  <c r="H789" i="56"/>
  <c r="H790" i="56"/>
  <c r="H791" i="56"/>
  <c r="H792" i="56"/>
  <c r="H793" i="56"/>
  <c r="H794" i="56"/>
  <c r="H795" i="56"/>
  <c r="H797" i="56"/>
  <c r="H798" i="56"/>
  <c r="H799" i="56"/>
  <c r="H800" i="56"/>
  <c r="H801" i="56"/>
  <c r="H802" i="56"/>
  <c r="H803" i="56"/>
  <c r="H804" i="56"/>
  <c r="H805" i="56"/>
  <c r="H806" i="56"/>
  <c r="H807" i="56"/>
  <c r="H808" i="56"/>
  <c r="H809" i="56"/>
  <c r="H765" i="56" l="1"/>
  <c r="H249" i="56"/>
  <c r="H704" i="56"/>
  <c r="H188" i="56"/>
  <c r="H461" i="56"/>
  <c r="H339" i="56"/>
  <c r="H614" i="56"/>
  <c r="H400" i="56"/>
  <c r="H553" i="56"/>
  <c r="H96" i="56"/>
  <c r="H707" i="56"/>
  <c r="H766" i="56"/>
  <c r="H342" i="56"/>
  <c r="H401" i="56"/>
  <c r="H735" i="56"/>
  <c r="H554" i="56"/>
  <c r="H158" i="56"/>
  <c r="H311" i="56"/>
  <c r="H370" i="56"/>
  <c r="H250" i="56"/>
  <c r="H189" i="56"/>
  <c r="H676" i="56"/>
  <c r="H615" i="56"/>
  <c r="H97" i="56"/>
  <c r="H523" i="56"/>
  <c r="H462" i="56"/>
  <c r="H522" i="56"/>
  <c r="H310" i="56"/>
  <c r="H157" i="56"/>
  <c r="H675" i="56"/>
  <c r="H403" i="56"/>
  <c r="H127" i="56"/>
  <c r="H706" i="56"/>
  <c r="H584" i="56"/>
  <c r="H737" i="56"/>
  <c r="H796" i="56"/>
  <c r="H372" i="56"/>
  <c r="H645" i="56"/>
  <c r="H341" i="56"/>
  <c r="H280" i="56"/>
  <c r="H219" i="56"/>
  <c r="H768" i="56"/>
  <c r="H492" i="56"/>
  <c r="H431" i="56"/>
  <c r="H95" i="56"/>
  <c r="H126" i="56"/>
  <c r="H463" i="56"/>
  <c r="H494" i="56"/>
  <c r="H128" i="56"/>
  <c r="H402" i="56"/>
  <c r="H767" i="56"/>
  <c r="H187" i="56"/>
  <c r="H248" i="56"/>
  <c r="H674" i="56"/>
  <c r="H309" i="56"/>
  <c r="H613" i="56"/>
  <c r="H552" i="56"/>
  <c r="H218" i="56"/>
  <c r="H279" i="56"/>
  <c r="H281" i="56"/>
  <c r="H647" i="56"/>
  <c r="H708" i="56"/>
  <c r="H555" i="56"/>
  <c r="H371" i="56"/>
  <c r="H646" i="56"/>
  <c r="H616" i="56"/>
  <c r="H677" i="56"/>
  <c r="H493" i="56"/>
  <c r="H738" i="56"/>
  <c r="H524" i="56"/>
  <c r="H769" i="56"/>
  <c r="H585" i="56"/>
  <c r="H432" i="56"/>
  <c r="H582" i="56"/>
  <c r="H460" i="56"/>
  <c r="H94" i="56"/>
  <c r="H369" i="56"/>
  <c r="H521" i="56"/>
  <c r="H216" i="56"/>
  <c r="H308" i="56"/>
  <c r="H155" i="56"/>
  <c r="H491" i="56"/>
  <c r="H125" i="56"/>
  <c r="H340" i="56"/>
  <c r="H156" i="56"/>
  <c r="H186" i="56"/>
  <c r="H583" i="56"/>
  <c r="H736" i="56"/>
  <c r="H217" i="56"/>
  <c r="H247" i="56"/>
  <c r="G630" i="56"/>
  <c r="H630" i="56"/>
  <c r="G622" i="56"/>
  <c r="H622" i="56"/>
  <c r="G606" i="56"/>
  <c r="H606" i="56"/>
  <c r="G598" i="56"/>
  <c r="H598" i="56"/>
  <c r="G590" i="56"/>
  <c r="H590" i="56"/>
  <c r="G566" i="56"/>
  <c r="H566" i="56"/>
  <c r="G534" i="56"/>
  <c r="H534" i="56"/>
  <c r="G478" i="56"/>
  <c r="H478" i="56"/>
  <c r="G446" i="56"/>
  <c r="H446" i="56"/>
  <c r="G438" i="56"/>
  <c r="H438" i="56"/>
  <c r="H278" i="56"/>
  <c r="G270" i="56"/>
  <c r="H270" i="56"/>
  <c r="G262" i="56"/>
  <c r="H262" i="56"/>
  <c r="H705" i="56"/>
  <c r="G533" i="56"/>
  <c r="H533" i="56"/>
  <c r="G509" i="56"/>
  <c r="H509" i="56"/>
  <c r="G269" i="56"/>
  <c r="H269" i="56"/>
  <c r="G261" i="56"/>
  <c r="H261" i="56"/>
  <c r="G265" i="56"/>
  <c r="H265" i="56"/>
  <c r="H644" i="56"/>
  <c r="G636" i="56"/>
  <c r="H636" i="56"/>
  <c r="G628" i="56"/>
  <c r="H628" i="56"/>
  <c r="G620" i="56"/>
  <c r="H620" i="56"/>
  <c r="G604" i="56"/>
  <c r="H604" i="56"/>
  <c r="G596" i="56"/>
  <c r="H596" i="56"/>
  <c r="G588" i="56"/>
  <c r="H588" i="56"/>
  <c r="G572" i="56"/>
  <c r="H572" i="56"/>
  <c r="G564" i="56"/>
  <c r="H564" i="56"/>
  <c r="G532" i="56"/>
  <c r="H532" i="56"/>
  <c r="G508" i="56"/>
  <c r="H508" i="56"/>
  <c r="G484" i="56"/>
  <c r="H484" i="56"/>
  <c r="G444" i="56"/>
  <c r="H444" i="56"/>
  <c r="G268" i="56"/>
  <c r="H268" i="56"/>
  <c r="G260" i="56"/>
  <c r="H260" i="56"/>
  <c r="G236" i="56"/>
  <c r="H236" i="56"/>
  <c r="G475" i="56"/>
  <c r="H475" i="56"/>
  <c r="G259" i="56"/>
  <c r="H259" i="56"/>
  <c r="G625" i="56"/>
  <c r="H625" i="56"/>
  <c r="G634" i="56"/>
  <c r="H634" i="56"/>
  <c r="G602" i="56"/>
  <c r="H602" i="56"/>
  <c r="G570" i="56"/>
  <c r="H570" i="56"/>
  <c r="G538" i="56"/>
  <c r="H538" i="56"/>
  <c r="G514" i="56"/>
  <c r="H514" i="56"/>
  <c r="G506" i="56"/>
  <c r="H506" i="56"/>
  <c r="G482" i="56"/>
  <c r="H482" i="56"/>
  <c r="G474" i="56"/>
  <c r="H474" i="56"/>
  <c r="G442" i="56"/>
  <c r="H442" i="56"/>
  <c r="G593" i="56"/>
  <c r="H593" i="56"/>
  <c r="G624" i="56"/>
  <c r="H624" i="56"/>
  <c r="G560" i="56"/>
  <c r="H560" i="56"/>
  <c r="G512" i="56"/>
  <c r="H512" i="56"/>
  <c r="G480" i="56"/>
  <c r="H480" i="56"/>
  <c r="G472" i="56"/>
  <c r="H472" i="56"/>
  <c r="G440" i="56"/>
  <c r="H440" i="56"/>
  <c r="G272" i="56"/>
  <c r="H272" i="56"/>
  <c r="G264" i="56"/>
  <c r="H264" i="56"/>
  <c r="G273" i="56"/>
  <c r="H273" i="56"/>
  <c r="G623" i="56"/>
  <c r="H623" i="56"/>
  <c r="G591" i="56"/>
  <c r="H591" i="56"/>
  <c r="G535" i="56"/>
  <c r="H535" i="56"/>
  <c r="G511" i="56"/>
  <c r="H511" i="56"/>
  <c r="G503" i="56"/>
  <c r="H503" i="56"/>
  <c r="G439" i="56"/>
  <c r="H439" i="56"/>
  <c r="G797" i="56"/>
  <c r="G61" i="59"/>
  <c r="H61" i="59"/>
  <c r="G455" i="59"/>
  <c r="H455" i="59"/>
  <c r="G592" i="59"/>
  <c r="H592" i="59"/>
  <c r="H661" i="59"/>
  <c r="G661" i="59"/>
  <c r="G735" i="59"/>
  <c r="H735" i="59"/>
  <c r="E60" i="59"/>
  <c r="A150" i="60"/>
  <c r="E591" i="59"/>
  <c r="E734" i="59"/>
  <c r="E454" i="59"/>
  <c r="A737" i="59"/>
  <c r="E660" i="59"/>
  <c r="A663" i="59"/>
  <c r="A594" i="59"/>
  <c r="A457" i="59"/>
  <c r="A63" i="59"/>
  <c r="F662" i="56"/>
  <c r="F660" i="56"/>
  <c r="G298" i="56"/>
  <c r="G297" i="56"/>
  <c r="G293" i="56"/>
  <c r="G290" i="56"/>
  <c r="G288" i="56"/>
  <c r="G287" i="56"/>
  <c r="G286" i="56"/>
  <c r="G745" i="56"/>
  <c r="G353" i="56"/>
  <c r="G778" i="56"/>
  <c r="G746" i="56"/>
  <c r="G714" i="56"/>
  <c r="G418" i="56"/>
  <c r="G410" i="56"/>
  <c r="G386" i="56"/>
  <c r="G378" i="56"/>
  <c r="G362" i="56"/>
  <c r="G354" i="56"/>
  <c r="G330" i="56"/>
  <c r="G322" i="56"/>
  <c r="G777" i="56"/>
  <c r="G416" i="56"/>
  <c r="G384" i="56"/>
  <c r="G360" i="56"/>
  <c r="G352" i="56"/>
  <c r="G328" i="56"/>
  <c r="G320" i="56"/>
  <c r="G753" i="56"/>
  <c r="G329" i="56"/>
  <c r="G783" i="56"/>
  <c r="G751" i="56"/>
  <c r="G774" i="56"/>
  <c r="G726" i="56"/>
  <c r="G422" i="56"/>
  <c r="G414" i="56"/>
  <c r="G390" i="56"/>
  <c r="G382" i="56"/>
  <c r="G358" i="56"/>
  <c r="G350" i="56"/>
  <c r="G326" i="56"/>
  <c r="G318" i="56"/>
  <c r="G785" i="56"/>
  <c r="G361" i="56"/>
  <c r="G415" i="56"/>
  <c r="G421" i="56"/>
  <c r="G389" i="56"/>
  <c r="G357" i="56"/>
  <c r="G333" i="56"/>
  <c r="G325" i="56"/>
  <c r="G393" i="56"/>
  <c r="G776" i="56"/>
  <c r="G752" i="56"/>
  <c r="G720" i="56"/>
  <c r="G719" i="56"/>
  <c r="G788" i="56"/>
  <c r="G780" i="56"/>
  <c r="G756" i="56"/>
  <c r="G748" i="56"/>
  <c r="G724" i="56"/>
  <c r="G716" i="56"/>
  <c r="G388" i="56"/>
  <c r="G380" i="56"/>
  <c r="G332" i="56"/>
  <c r="G324" i="56"/>
  <c r="G316" i="56"/>
  <c r="G411" i="56"/>
  <c r="G387" i="56"/>
  <c r="G379" i="56"/>
  <c r="G126" i="56"/>
  <c r="G582" i="56"/>
  <c r="F661" i="56"/>
  <c r="F659" i="56"/>
  <c r="F658" i="56"/>
  <c r="G666" i="56"/>
  <c r="G682" i="56"/>
  <c r="G689" i="56"/>
  <c r="G692" i="56"/>
  <c r="G660" i="56"/>
  <c r="G698" i="56"/>
  <c r="G681" i="56"/>
  <c r="G657" i="56"/>
  <c r="G688" i="56"/>
  <c r="G680" i="56"/>
  <c r="G684" i="56"/>
  <c r="G655" i="56"/>
  <c r="G694" i="56"/>
  <c r="G662" i="56"/>
  <c r="G654" i="56"/>
  <c r="G652" i="56"/>
  <c r="G110" i="56"/>
  <c r="G106" i="56"/>
  <c r="F82" i="56"/>
  <c r="G105" i="56"/>
  <c r="F203" i="56"/>
  <c r="G234" i="56"/>
  <c r="G230" i="56"/>
  <c r="G226" i="56"/>
  <c r="G210" i="56"/>
  <c r="G202" i="56"/>
  <c r="G198" i="56"/>
  <c r="G118" i="56"/>
  <c r="G114" i="56"/>
  <c r="G233" i="56"/>
  <c r="G229" i="56"/>
  <c r="G209" i="56"/>
  <c r="G205" i="56"/>
  <c r="G201" i="56"/>
  <c r="G197" i="56"/>
  <c r="G117" i="56"/>
  <c r="G113" i="56"/>
  <c r="G109" i="56"/>
  <c r="G232" i="56"/>
  <c r="G224" i="56"/>
  <c r="G208" i="56"/>
  <c r="G116" i="56"/>
  <c r="G112" i="56"/>
  <c r="G108" i="56"/>
  <c r="G104" i="56"/>
  <c r="G103" i="56"/>
  <c r="G204" i="56"/>
  <c r="F204" i="56"/>
  <c r="G206" i="56"/>
  <c r="F206" i="56"/>
  <c r="G147" i="56"/>
  <c r="G146" i="56"/>
  <c r="G142" i="56"/>
  <c r="G138" i="56"/>
  <c r="G149" i="56"/>
  <c r="G145" i="56"/>
  <c r="G141" i="56"/>
  <c r="G137" i="56"/>
  <c r="G339" i="56"/>
  <c r="G127" i="56"/>
  <c r="G796" i="56"/>
  <c r="G492" i="56"/>
  <c r="G102" i="56"/>
  <c r="G98" i="56"/>
  <c r="G764" i="56"/>
  <c r="G708" i="56"/>
  <c r="G648" i="56"/>
  <c r="G584" i="56"/>
  <c r="G556" i="56"/>
  <c r="G548" i="56"/>
  <c r="G540" i="56"/>
  <c r="G528" i="56"/>
  <c r="G500" i="56"/>
  <c r="G464" i="56"/>
  <c r="G460" i="56"/>
  <c r="G448" i="56"/>
  <c r="G527" i="56"/>
  <c r="G519" i="56"/>
  <c r="G495" i="56"/>
  <c r="G487" i="56"/>
  <c r="G471" i="56"/>
  <c r="G467" i="56"/>
  <c r="G451" i="56"/>
  <c r="G435" i="56"/>
  <c r="G407" i="56"/>
  <c r="G403" i="56"/>
  <c r="G375" i="56"/>
  <c r="G371" i="56"/>
  <c r="G347" i="56"/>
  <c r="G343" i="56"/>
  <c r="G315" i="56"/>
  <c r="G311" i="56"/>
  <c r="G307" i="56"/>
  <c r="G283" i="56"/>
  <c r="G279" i="56"/>
  <c r="G251" i="56"/>
  <c r="G243" i="56"/>
  <c r="G223" i="56"/>
  <c r="G219" i="56"/>
  <c r="G215" i="56"/>
  <c r="G211" i="56"/>
  <c r="G195" i="56"/>
  <c r="G187" i="56"/>
  <c r="G183" i="56"/>
  <c r="G163" i="56"/>
  <c r="G155" i="56"/>
  <c r="G151" i="56"/>
  <c r="G131" i="56"/>
  <c r="G99" i="56"/>
  <c r="G794" i="56"/>
  <c r="G790" i="56"/>
  <c r="G762" i="56"/>
  <c r="G758" i="56"/>
  <c r="G742" i="56"/>
  <c r="G730" i="56"/>
  <c r="G710" i="56"/>
  <c r="G678" i="56"/>
  <c r="G670" i="56"/>
  <c r="G650" i="56"/>
  <c r="G638" i="56"/>
  <c r="G618" i="56"/>
  <c r="G614" i="56"/>
  <c r="G610" i="56"/>
  <c r="G586" i="56"/>
  <c r="G558" i="56"/>
  <c r="G546" i="56"/>
  <c r="G542" i="56"/>
  <c r="G530" i="56"/>
  <c r="G518" i="56"/>
  <c r="G502" i="56"/>
  <c r="G498" i="56"/>
  <c r="G490" i="56"/>
  <c r="G486" i="56"/>
  <c r="G470" i="56"/>
  <c r="G466" i="56"/>
  <c r="G458" i="56"/>
  <c r="G454" i="56"/>
  <c r="G450" i="56"/>
  <c r="G430" i="56"/>
  <c r="G426" i="56"/>
  <c r="G398" i="56"/>
  <c r="G394" i="56"/>
  <c r="G374" i="56"/>
  <c r="G366" i="56"/>
  <c r="G346" i="56"/>
  <c r="G338" i="56"/>
  <c r="G314" i="56"/>
  <c r="G306" i="56"/>
  <c r="G302" i="56"/>
  <c r="G282" i="56"/>
  <c r="G274" i="56"/>
  <c r="G258" i="56"/>
  <c r="G254" i="56"/>
  <c r="G250" i="56"/>
  <c r="G242" i="56"/>
  <c r="G238" i="56"/>
  <c r="G222" i="56"/>
  <c r="G218" i="56"/>
  <c r="G214" i="56"/>
  <c r="G194" i="56"/>
  <c r="G190" i="56"/>
  <c r="G186" i="56"/>
  <c r="G182" i="56"/>
  <c r="G162" i="56"/>
  <c r="G154" i="56"/>
  <c r="G150" i="56"/>
  <c r="G134" i="56"/>
  <c r="G130" i="56"/>
  <c r="G122" i="56"/>
  <c r="G769" i="56"/>
  <c r="G737" i="56"/>
  <c r="G705" i="56"/>
  <c r="G641" i="56"/>
  <c r="G617" i="56"/>
  <c r="G609" i="56"/>
  <c r="G577" i="56"/>
  <c r="G545" i="56"/>
  <c r="G525" i="56"/>
  <c r="G517" i="56"/>
  <c r="G497" i="56"/>
  <c r="G493" i="56"/>
  <c r="G469" i="56"/>
  <c r="G465" i="56"/>
  <c r="G457" i="56"/>
  <c r="G453" i="56"/>
  <c r="G437" i="56"/>
  <c r="G429" i="56"/>
  <c r="G425" i="56"/>
  <c r="G405" i="56"/>
  <c r="G397" i="56"/>
  <c r="G373" i="56"/>
  <c r="G365" i="56"/>
  <c r="G341" i="56"/>
  <c r="G337" i="56"/>
  <c r="G305" i="56"/>
  <c r="G301" i="56"/>
  <c r="G277" i="56"/>
  <c r="G253" i="56"/>
  <c r="G245" i="56"/>
  <c r="G241" i="56"/>
  <c r="G237" i="56"/>
  <c r="G181" i="56"/>
  <c r="G161" i="56"/>
  <c r="G153" i="56"/>
  <c r="G133" i="56"/>
  <c r="G125" i="56"/>
  <c r="G101" i="56"/>
  <c r="G772" i="56"/>
  <c r="G740" i="56"/>
  <c r="G732" i="56"/>
  <c r="G712" i="56"/>
  <c r="G700" i="56"/>
  <c r="G676" i="56"/>
  <c r="G668" i="56"/>
  <c r="G644" i="56"/>
  <c r="G580" i="56"/>
  <c r="G552" i="56"/>
  <c r="G524" i="56"/>
  <c r="G496" i="56"/>
  <c r="G468" i="56"/>
  <c r="G456" i="56"/>
  <c r="G452" i="56"/>
  <c r="G436" i="56"/>
  <c r="G432" i="56"/>
  <c r="G428" i="56"/>
  <c r="G424" i="56"/>
  <c r="G408" i="56"/>
  <c r="G404" i="56"/>
  <c r="G400" i="56"/>
  <c r="G396" i="56"/>
  <c r="G376" i="56"/>
  <c r="G372" i="56"/>
  <c r="G368" i="56"/>
  <c r="G364" i="56"/>
  <c r="G344" i="56"/>
  <c r="G340" i="56"/>
  <c r="G336" i="56"/>
  <c r="G312" i="56"/>
  <c r="G304" i="56"/>
  <c r="G300" i="56"/>
  <c r="G280" i="56"/>
  <c r="G276" i="56"/>
  <c r="G256" i="56"/>
  <c r="G252" i="56"/>
  <c r="G244" i="56"/>
  <c r="G240" i="56"/>
  <c r="G216" i="56"/>
  <c r="G212" i="56"/>
  <c r="G196" i="56"/>
  <c r="G192" i="56"/>
  <c r="G188" i="56"/>
  <c r="G184" i="56"/>
  <c r="G160" i="56"/>
  <c r="G156" i="56"/>
  <c r="G152" i="56"/>
  <c r="G136" i="56"/>
  <c r="G132" i="56"/>
  <c r="G128" i="56"/>
  <c r="G124" i="56"/>
  <c r="G120" i="56"/>
  <c r="G100" i="56"/>
  <c r="G158" i="56"/>
  <c r="G554" i="56"/>
  <c r="G401" i="56"/>
  <c r="G309" i="56"/>
  <c r="G189" i="56"/>
  <c r="G66" i="56"/>
  <c r="H66" i="56"/>
  <c r="G248" i="56"/>
  <c r="G174" i="56"/>
  <c r="G166" i="56"/>
  <c r="G180" i="56"/>
  <c r="G176" i="56"/>
  <c r="G172" i="56"/>
  <c r="G168" i="56"/>
  <c r="G179" i="56"/>
  <c r="G175" i="56"/>
  <c r="G178" i="56"/>
  <c r="G170" i="56"/>
  <c r="G177" i="56"/>
  <c r="G173" i="56"/>
  <c r="G165" i="56"/>
  <c r="G522" i="56"/>
  <c r="G278" i="56"/>
  <c r="G673" i="56"/>
  <c r="G461" i="56"/>
  <c r="G247" i="56"/>
  <c r="G369" i="56"/>
  <c r="G157" i="56"/>
  <c r="G612" i="56"/>
  <c r="G308" i="56"/>
  <c r="G95" i="56"/>
  <c r="G75" i="56"/>
  <c r="G71" i="56"/>
  <c r="G67" i="56"/>
  <c r="G462" i="56"/>
  <c r="G96" i="56"/>
  <c r="G92" i="56"/>
  <c r="G88" i="56"/>
  <c r="G84" i="56"/>
  <c r="G80" i="56"/>
  <c r="G72" i="56"/>
  <c r="G68" i="56"/>
  <c r="G64" i="56"/>
  <c r="G60" i="56"/>
  <c r="G56" i="56"/>
  <c r="G94" i="56"/>
  <c r="G90" i="56"/>
  <c r="G86" i="56"/>
  <c r="G82" i="56"/>
  <c r="G78" i="56"/>
  <c r="G74" i="56"/>
  <c r="G70" i="56"/>
  <c r="G62" i="56"/>
  <c r="G89" i="56"/>
  <c r="G85" i="56"/>
  <c r="G81" i="56"/>
  <c r="G69" i="56"/>
  <c r="G61" i="56"/>
  <c r="G57" i="56"/>
  <c r="G802" i="56"/>
  <c r="G750" i="56"/>
  <c r="G734" i="56"/>
  <c r="G722" i="56"/>
  <c r="G686" i="56"/>
  <c r="G674" i="56"/>
  <c r="G626" i="56"/>
  <c r="G578" i="56"/>
  <c r="G510" i="56"/>
  <c r="G809" i="56"/>
  <c r="G801" i="56"/>
  <c r="G793" i="56"/>
  <c r="G773" i="56"/>
  <c r="G765" i="56"/>
  <c r="G757" i="56"/>
  <c r="G741" i="56"/>
  <c r="G733" i="56"/>
  <c r="G725" i="56"/>
  <c r="G717" i="56"/>
  <c r="G709" i="56"/>
  <c r="G701" i="56"/>
  <c r="G693" i="56"/>
  <c r="G685" i="56"/>
  <c r="G649" i="56"/>
  <c r="G633" i="56"/>
  <c r="G808" i="56"/>
  <c r="G800" i="56"/>
  <c r="G792" i="56"/>
  <c r="G784" i="56"/>
  <c r="G768" i="56"/>
  <c r="G760" i="56"/>
  <c r="G744" i="56"/>
  <c r="G736" i="56"/>
  <c r="G696" i="56"/>
  <c r="G672" i="56"/>
  <c r="G664" i="56"/>
  <c r="G656" i="56"/>
  <c r="G640" i="56"/>
  <c r="G632" i="56"/>
  <c r="G616" i="56"/>
  <c r="G608" i="56"/>
  <c r="G600" i="56"/>
  <c r="G592" i="56"/>
  <c r="G576" i="56"/>
  <c r="G568" i="56"/>
  <c r="G544" i="56"/>
  <c r="G536" i="56"/>
  <c r="G520" i="56"/>
  <c r="G504" i="56"/>
  <c r="G488" i="56"/>
  <c r="G392" i="56"/>
  <c r="G356" i="56"/>
  <c r="G348" i="56"/>
  <c r="G296" i="56"/>
  <c r="G292" i="56"/>
  <c r="G284" i="56"/>
  <c r="G228" i="56"/>
  <c r="G220" i="56"/>
  <c r="G200" i="56"/>
  <c r="G164" i="56"/>
  <c r="G148" i="56"/>
  <c r="G144" i="56"/>
  <c r="G140" i="56"/>
  <c r="G76" i="56"/>
  <c r="G806" i="56"/>
  <c r="G782" i="56"/>
  <c r="G770" i="56"/>
  <c r="G766" i="56"/>
  <c r="G754" i="56"/>
  <c r="G718" i="56"/>
  <c r="G706" i="56"/>
  <c r="G658" i="56"/>
  <c r="G646" i="56"/>
  <c r="G574" i="56"/>
  <c r="G562" i="56"/>
  <c r="G550" i="56"/>
  <c r="G526" i="56"/>
  <c r="G805" i="56"/>
  <c r="G789" i="56"/>
  <c r="G781" i="56"/>
  <c r="G761" i="56"/>
  <c r="G749" i="56"/>
  <c r="G729" i="56"/>
  <c r="G721" i="56"/>
  <c r="G713" i="56"/>
  <c r="G697" i="56"/>
  <c r="G677" i="56"/>
  <c r="G669" i="56"/>
  <c r="G665" i="56"/>
  <c r="G661" i="56"/>
  <c r="G653" i="56"/>
  <c r="G645" i="56"/>
  <c r="G637" i="56"/>
  <c r="G629" i="56"/>
  <c r="G621" i="56"/>
  <c r="G613" i="56"/>
  <c r="G804" i="56"/>
  <c r="G728" i="56"/>
  <c r="G704" i="56"/>
  <c r="G516" i="56"/>
  <c r="G476" i="56"/>
  <c r="G420" i="56"/>
  <c r="G412" i="56"/>
  <c r="G812" i="56"/>
  <c r="G807" i="56"/>
  <c r="G803" i="56"/>
  <c r="G799" i="56"/>
  <c r="G795" i="56"/>
  <c r="G791" i="56"/>
  <c r="G787" i="56"/>
  <c r="G779" i="56"/>
  <c r="G775" i="56"/>
  <c r="G771" i="56"/>
  <c r="G767" i="56"/>
  <c r="G763" i="56"/>
  <c r="G759" i="56"/>
  <c r="G755" i="56"/>
  <c r="G747" i="56"/>
  <c r="G743" i="56"/>
  <c r="G739" i="56"/>
  <c r="I735" i="56"/>
  <c r="G735" i="56"/>
  <c r="G731" i="56"/>
  <c r="G727" i="56"/>
  <c r="G723" i="56"/>
  <c r="G715" i="56"/>
  <c r="G711" i="56"/>
  <c r="G707" i="56"/>
  <c r="G703" i="56"/>
  <c r="G699" i="56"/>
  <c r="G695" i="56"/>
  <c r="G691" i="56"/>
  <c r="G687" i="56"/>
  <c r="G683" i="56"/>
  <c r="G679" i="56"/>
  <c r="G675" i="56"/>
  <c r="G671" i="56"/>
  <c r="G667" i="56"/>
  <c r="G663" i="56"/>
  <c r="G659" i="56"/>
  <c r="G651" i="56"/>
  <c r="G647" i="56"/>
  <c r="G643" i="56"/>
  <c r="G639" i="56"/>
  <c r="G635" i="56"/>
  <c r="G631" i="56"/>
  <c r="G627" i="56"/>
  <c r="G619" i="56"/>
  <c r="G615" i="56"/>
  <c r="G611" i="56"/>
  <c r="G607" i="56"/>
  <c r="G603" i="56"/>
  <c r="G599" i="56"/>
  <c r="G595" i="56"/>
  <c r="G587" i="56"/>
  <c r="G583" i="56"/>
  <c r="G579" i="56"/>
  <c r="G575" i="56"/>
  <c r="G571" i="56"/>
  <c r="G567" i="56"/>
  <c r="G563" i="56"/>
  <c r="G559" i="56"/>
  <c r="G555" i="56"/>
  <c r="G551" i="56"/>
  <c r="G547" i="56"/>
  <c r="G543" i="56"/>
  <c r="G539" i="56"/>
  <c r="G531" i="56"/>
  <c r="G523" i="56"/>
  <c r="G515" i="56"/>
  <c r="G507" i="56"/>
  <c r="G499" i="56"/>
  <c r="G491" i="56"/>
  <c r="G483" i="56"/>
  <c r="G479" i="56"/>
  <c r="G463" i="56"/>
  <c r="G459" i="56"/>
  <c r="G455" i="56"/>
  <c r="G447" i="56"/>
  <c r="G443" i="56"/>
  <c r="G431" i="56"/>
  <c r="G427" i="56"/>
  <c r="G423" i="56"/>
  <c r="G419" i="56"/>
  <c r="G399" i="56"/>
  <c r="G395" i="56"/>
  <c r="G391" i="56"/>
  <c r="G383" i="56"/>
  <c r="G367" i="56"/>
  <c r="G363" i="56"/>
  <c r="G359" i="56"/>
  <c r="G355" i="56"/>
  <c r="G351" i="56"/>
  <c r="G335" i="56"/>
  <c r="G331" i="56"/>
  <c r="G327" i="56"/>
  <c r="G323" i="56"/>
  <c r="G319" i="56"/>
  <c r="G303" i="56"/>
  <c r="G299" i="56"/>
  <c r="G295" i="56"/>
  <c r="G291" i="56"/>
  <c r="G275" i="56"/>
  <c r="G271" i="56"/>
  <c r="G267" i="56"/>
  <c r="G263" i="56"/>
  <c r="G255" i="56"/>
  <c r="G239" i="56"/>
  <c r="G235" i="56"/>
  <c r="G231" i="56"/>
  <c r="G227" i="56"/>
  <c r="G207" i="56"/>
  <c r="G203" i="56"/>
  <c r="G199" i="56"/>
  <c r="G191" i="56"/>
  <c r="G171" i="56"/>
  <c r="G167" i="56"/>
  <c r="G159" i="56"/>
  <c r="G143" i="56"/>
  <c r="G139" i="56"/>
  <c r="G135" i="56"/>
  <c r="G123" i="56"/>
  <c r="G119" i="56"/>
  <c r="G115" i="56"/>
  <c r="G111" i="56"/>
  <c r="G107" i="56"/>
  <c r="G91" i="56"/>
  <c r="G87" i="56"/>
  <c r="G83" i="56"/>
  <c r="G79" i="56"/>
  <c r="G63" i="56"/>
  <c r="G59" i="56"/>
  <c r="G55" i="56"/>
  <c r="G810" i="56"/>
  <c r="G798" i="56"/>
  <c r="G786" i="56"/>
  <c r="G738" i="56"/>
  <c r="G702" i="56"/>
  <c r="G690" i="56"/>
  <c r="G642" i="56"/>
  <c r="G594" i="56"/>
  <c r="G494" i="56"/>
  <c r="G434" i="56"/>
  <c r="G406" i="56"/>
  <c r="G402" i="56"/>
  <c r="I370" i="56"/>
  <c r="G370" i="56"/>
  <c r="G342" i="56"/>
  <c r="G334" i="56"/>
  <c r="G310" i="56"/>
  <c r="G294" i="56"/>
  <c r="G266" i="56"/>
  <c r="G246" i="56"/>
  <c r="G58" i="56"/>
  <c r="G54" i="56"/>
  <c r="G605" i="56"/>
  <c r="G601" i="56"/>
  <c r="G597" i="56"/>
  <c r="G589" i="56"/>
  <c r="G585" i="56"/>
  <c r="G581" i="56"/>
  <c r="G573" i="56"/>
  <c r="G569" i="56"/>
  <c r="G565" i="56"/>
  <c r="G561" i="56"/>
  <c r="G557" i="56"/>
  <c r="G553" i="56"/>
  <c r="G549" i="56"/>
  <c r="G541" i="56"/>
  <c r="G537" i="56"/>
  <c r="G529" i="56"/>
  <c r="G521" i="56"/>
  <c r="G513" i="56"/>
  <c r="G505" i="56"/>
  <c r="G501" i="56"/>
  <c r="G489" i="56"/>
  <c r="G485" i="56"/>
  <c r="G481" i="56"/>
  <c r="G477" i="56"/>
  <c r="G473" i="56"/>
  <c r="G449" i="56"/>
  <c r="G445" i="56"/>
  <c r="G441" i="56"/>
  <c r="G433" i="56"/>
  <c r="G417" i="56"/>
  <c r="G413" i="56"/>
  <c r="G409" i="56"/>
  <c r="G385" i="56"/>
  <c r="G381" i="56"/>
  <c r="G377" i="56"/>
  <c r="G349" i="56"/>
  <c r="G345" i="56"/>
  <c r="G321" i="56"/>
  <c r="G317" i="56"/>
  <c r="G313" i="56"/>
  <c r="G289" i="56"/>
  <c r="G285" i="56"/>
  <c r="G281" i="56"/>
  <c r="G257" i="56"/>
  <c r="G249" i="56"/>
  <c r="G225" i="56"/>
  <c r="G221" i="56"/>
  <c r="G217" i="56"/>
  <c r="G213" i="56"/>
  <c r="G193" i="56"/>
  <c r="G185" i="56"/>
  <c r="G169" i="56"/>
  <c r="G129" i="56"/>
  <c r="G121" i="56"/>
  <c r="G97" i="56"/>
  <c r="G93" i="56"/>
  <c r="G77" i="56"/>
  <c r="G73" i="56"/>
  <c r="G65" i="56"/>
  <c r="I66" i="56"/>
  <c r="I249" i="56"/>
  <c r="I158" i="56"/>
  <c r="I796" i="56"/>
  <c r="I704" i="56"/>
  <c r="I676" i="56"/>
  <c r="I584" i="56"/>
  <c r="I492" i="56"/>
  <c r="I400" i="56"/>
  <c r="I280" i="56"/>
  <c r="I96" i="56"/>
  <c r="E3" i="47"/>
  <c r="I645" i="56"/>
  <c r="I523" i="56"/>
  <c r="I614" i="56"/>
  <c r="I553" i="56"/>
  <c r="I461" i="56"/>
  <c r="I431" i="56"/>
  <c r="I339" i="56"/>
  <c r="I311" i="56"/>
  <c r="I219" i="56"/>
  <c r="I127" i="56"/>
  <c r="I765" i="56"/>
  <c r="I188" i="56"/>
  <c r="G62" i="59" l="1"/>
  <c r="H62" i="59"/>
  <c r="G456" i="59"/>
  <c r="H456" i="59"/>
  <c r="G593" i="59"/>
  <c r="G662" i="59"/>
  <c r="H662" i="59"/>
  <c r="G736" i="59"/>
  <c r="H736" i="59"/>
  <c r="A151" i="60"/>
  <c r="E661" i="59"/>
  <c r="E735" i="59"/>
  <c r="A738" i="59"/>
  <c r="A664" i="59"/>
  <c r="H593" i="59"/>
  <c r="E592" i="59"/>
  <c r="A595" i="59"/>
  <c r="A458" i="59"/>
  <c r="E455" i="59"/>
  <c r="A64" i="59"/>
  <c r="E61" i="59"/>
  <c r="C20" i="49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G63" i="59" l="1"/>
  <c r="H63" i="59"/>
  <c r="H457" i="59"/>
  <c r="G457" i="59"/>
  <c r="G594" i="59"/>
  <c r="G663" i="59"/>
  <c r="H663" i="59"/>
  <c r="H737" i="59"/>
  <c r="G737" i="59"/>
  <c r="A152" i="60"/>
  <c r="E62" i="59"/>
  <c r="E662" i="59"/>
  <c r="A739" i="59"/>
  <c r="E736" i="59"/>
  <c r="A665" i="59"/>
  <c r="E593" i="59"/>
  <c r="H594" i="59"/>
  <c r="A596" i="59"/>
  <c r="E456" i="59"/>
  <c r="A459" i="59"/>
  <c r="A65" i="59"/>
  <c r="F290" i="47"/>
  <c r="F351" i="47"/>
  <c r="F321" i="47"/>
  <c r="F293" i="47"/>
  <c r="F140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G77" i="47"/>
  <c r="I78" i="49" s="1"/>
  <c r="F230" i="47"/>
  <c r="F291" i="47"/>
  <c r="G322" i="47"/>
  <c r="I323" i="49" s="1"/>
  <c r="G383" i="47"/>
  <c r="I384" i="49" s="1"/>
  <c r="F362" i="47"/>
  <c r="F358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G352" i="47"/>
  <c r="G230" i="47"/>
  <c r="I231" i="49" s="1"/>
  <c r="G138" i="47"/>
  <c r="I139" i="49" s="1"/>
  <c r="G169" i="47"/>
  <c r="I170" i="49" s="1"/>
  <c r="G108" i="47"/>
  <c r="G48" i="47"/>
  <c r="G17" i="47"/>
  <c r="I18" i="49" s="1"/>
  <c r="G199" i="47"/>
  <c r="G291" i="47"/>
  <c r="G261" i="47" l="1"/>
  <c r="I262" i="49" s="1"/>
  <c r="I80" i="49"/>
  <c r="I292" i="49"/>
  <c r="I233" i="49"/>
  <c r="I294" i="49"/>
  <c r="I232" i="49"/>
  <c r="I171" i="49"/>
  <c r="I383" i="49"/>
  <c r="I324" i="49"/>
  <c r="I355" i="49"/>
  <c r="I293" i="49"/>
  <c r="I107" i="49"/>
  <c r="I168" i="49"/>
  <c r="I46" i="49"/>
  <c r="I108" i="49"/>
  <c r="I77" i="49"/>
  <c r="G64" i="59"/>
  <c r="H64" i="59"/>
  <c r="G458" i="59"/>
  <c r="H458" i="59"/>
  <c r="G595" i="59"/>
  <c r="G664" i="59"/>
  <c r="H664" i="59"/>
  <c r="G738" i="59"/>
  <c r="H738" i="59"/>
  <c r="I48" i="49"/>
  <c r="I200" i="49"/>
  <c r="I169" i="49"/>
  <c r="I109" i="49"/>
  <c r="I321" i="49"/>
  <c r="I201" i="49"/>
  <c r="I140" i="49"/>
  <c r="I141" i="49"/>
  <c r="I263" i="49"/>
  <c r="I353" i="49"/>
  <c r="I322" i="49"/>
  <c r="I202" i="49"/>
  <c r="E457" i="59"/>
  <c r="E594" i="59"/>
  <c r="A153" i="60"/>
  <c r="E737" i="59"/>
  <c r="E663" i="59"/>
  <c r="A740" i="59"/>
  <c r="A666" i="59"/>
  <c r="H595" i="59"/>
  <c r="A597" i="59"/>
  <c r="A460" i="59"/>
  <c r="A66" i="59"/>
  <c r="E63" i="59"/>
  <c r="I110" i="49"/>
  <c r="I79" i="49"/>
  <c r="I260" i="49"/>
  <c r="I199" i="49"/>
  <c r="I352" i="49"/>
  <c r="I138" i="49"/>
  <c r="I291" i="49"/>
  <c r="I261" i="49"/>
  <c r="I49" i="49"/>
  <c r="I230" i="49"/>
  <c r="F397" i="47"/>
  <c r="F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E383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E323" i="47"/>
  <c r="F322" i="47"/>
  <c r="E322" i="47"/>
  <c r="E321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E260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E170" i="47"/>
  <c r="E169" i="47"/>
  <c r="F168" i="47"/>
  <c r="E168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E138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E50" i="47"/>
  <c r="E49" i="47"/>
  <c r="E48" i="47"/>
  <c r="E47" i="47"/>
  <c r="E46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G65" i="59" l="1"/>
  <c r="H65" i="59"/>
  <c r="G459" i="59"/>
  <c r="H459" i="59"/>
  <c r="G596" i="59"/>
  <c r="H665" i="59"/>
  <c r="G665" i="59"/>
  <c r="G739" i="59"/>
  <c r="H739" i="59"/>
  <c r="A154" i="60"/>
  <c r="E458" i="59"/>
  <c r="E738" i="59"/>
  <c r="A741" i="59"/>
  <c r="A667" i="59"/>
  <c r="E664" i="59"/>
  <c r="E595" i="59"/>
  <c r="H596" i="59"/>
  <c r="A598" i="59"/>
  <c r="A461" i="59"/>
  <c r="E64" i="59"/>
  <c r="A67" i="59"/>
  <c r="G66" i="59" l="1"/>
  <c r="H66" i="59"/>
  <c r="G460" i="59"/>
  <c r="H460" i="59"/>
  <c r="G597" i="59"/>
  <c r="G666" i="59"/>
  <c r="H666" i="59"/>
  <c r="G740" i="59"/>
  <c r="H740" i="59"/>
  <c r="A155" i="60"/>
  <c r="E65" i="59"/>
  <c r="E596" i="59"/>
  <c r="E739" i="59"/>
  <c r="E665" i="59"/>
  <c r="A742" i="59"/>
  <c r="A668" i="59"/>
  <c r="A599" i="59"/>
  <c r="H597" i="59"/>
  <c r="E459" i="59"/>
  <c r="A462" i="59"/>
  <c r="A68" i="59"/>
  <c r="I30" i="6"/>
  <c r="I28" i="6"/>
  <c r="I24" i="6"/>
  <c r="I21" i="6"/>
  <c r="I20" i="6"/>
  <c r="I18" i="6"/>
  <c r="I17" i="6"/>
  <c r="I16" i="6"/>
  <c r="I23" i="6"/>
  <c r="I14" i="6"/>
  <c r="I13" i="6"/>
  <c r="I12" i="6"/>
  <c r="I11" i="6"/>
  <c r="I10" i="6"/>
  <c r="I9" i="6"/>
  <c r="H30" i="6"/>
  <c r="H29" i="6"/>
  <c r="H28" i="6"/>
  <c r="H24" i="6"/>
  <c r="H21" i="6"/>
  <c r="H20" i="6"/>
  <c r="H18" i="6"/>
  <c r="H17" i="6"/>
  <c r="H16" i="6"/>
  <c r="H23" i="6"/>
  <c r="H14" i="6"/>
  <c r="H13" i="6"/>
  <c r="H12" i="6"/>
  <c r="H11" i="6"/>
  <c r="H10" i="6"/>
  <c r="H9" i="6"/>
  <c r="G30" i="6"/>
  <c r="G28" i="6"/>
  <c r="G24" i="6"/>
  <c r="G21" i="6"/>
  <c r="G20" i="6"/>
  <c r="G17" i="6"/>
  <c r="G16" i="6"/>
  <c r="G23" i="6"/>
  <c r="G14" i="6"/>
  <c r="G13" i="6"/>
  <c r="G11" i="6"/>
  <c r="G10" i="6"/>
  <c r="G9" i="6"/>
  <c r="F29" i="6"/>
  <c r="F28" i="6"/>
  <c r="F24" i="6"/>
  <c r="F21" i="6"/>
  <c r="F20" i="6"/>
  <c r="F18" i="6"/>
  <c r="F17" i="6"/>
  <c r="F16" i="6"/>
  <c r="F23" i="6"/>
  <c r="F14" i="6"/>
  <c r="F13" i="6"/>
  <c r="F12" i="6"/>
  <c r="F11" i="6"/>
  <c r="F10" i="6"/>
  <c r="K30" i="6"/>
  <c r="K28" i="6"/>
  <c r="K24" i="6"/>
  <c r="K21" i="6"/>
  <c r="K20" i="6"/>
  <c r="K18" i="6"/>
  <c r="K17" i="6"/>
  <c r="K16" i="6"/>
  <c r="K23" i="6"/>
  <c r="K14" i="6"/>
  <c r="K13" i="6"/>
  <c r="K12" i="6"/>
  <c r="K11" i="6"/>
  <c r="K9" i="6"/>
  <c r="J30" i="6"/>
  <c r="J29" i="6"/>
  <c r="J28" i="6"/>
  <c r="J24" i="6"/>
  <c r="J21" i="6"/>
  <c r="J20" i="6"/>
  <c r="J18" i="6"/>
  <c r="J17" i="6"/>
  <c r="J16" i="6"/>
  <c r="J23" i="6"/>
  <c r="J14" i="6"/>
  <c r="J13" i="6"/>
  <c r="J12" i="6"/>
  <c r="J11" i="6"/>
  <c r="J10" i="6"/>
  <c r="J9" i="6"/>
  <c r="H27" i="6" l="1"/>
  <c r="F27" i="6"/>
  <c r="J27" i="6"/>
  <c r="F15" i="6"/>
  <c r="F22" i="6"/>
  <c r="G67" i="59"/>
  <c r="H67" i="59"/>
  <c r="H461" i="59"/>
  <c r="G461" i="59"/>
  <c r="G598" i="59"/>
  <c r="H598" i="59"/>
  <c r="G667" i="59"/>
  <c r="H667" i="59"/>
  <c r="G741" i="59"/>
  <c r="H741" i="59"/>
  <c r="A156" i="60"/>
  <c r="E740" i="59"/>
  <c r="E460" i="59"/>
  <c r="E66" i="59"/>
  <c r="E666" i="59"/>
  <c r="A743" i="59"/>
  <c r="A669" i="59"/>
  <c r="E597" i="59"/>
  <c r="A600" i="59"/>
  <c r="A463" i="59"/>
  <c r="A69" i="59"/>
  <c r="C43" i="44"/>
  <c r="G68" i="59" l="1"/>
  <c r="H68" i="59"/>
  <c r="G462" i="59"/>
  <c r="H462" i="59"/>
  <c r="G599" i="59"/>
  <c r="H599" i="59"/>
  <c r="G668" i="59"/>
  <c r="H668" i="59"/>
  <c r="G742" i="59"/>
  <c r="H742" i="59"/>
  <c r="A157" i="60"/>
  <c r="E667" i="59"/>
  <c r="E598" i="59"/>
  <c r="E741" i="59"/>
  <c r="A744" i="59"/>
  <c r="A670" i="59"/>
  <c r="A601" i="59"/>
  <c r="E461" i="59"/>
  <c r="A464" i="59"/>
  <c r="E67" i="59"/>
  <c r="A70" i="59"/>
  <c r="C36" i="44"/>
  <c r="C45" i="44"/>
  <c r="C35" i="44"/>
  <c r="C44" i="44"/>
  <c r="C38" i="44"/>
  <c r="C39" i="44"/>
  <c r="C34" i="44"/>
  <c r="C42" i="44"/>
  <c r="C46" i="44"/>
  <c r="C40" i="44"/>
  <c r="C41" i="44"/>
  <c r="F53" i="56"/>
  <c r="F54" i="56"/>
  <c r="F55" i="56"/>
  <c r="F56" i="56"/>
  <c r="F57" i="56"/>
  <c r="F58" i="56"/>
  <c r="E59" i="56"/>
  <c r="F59" i="56"/>
  <c r="E60" i="56"/>
  <c r="F60" i="56"/>
  <c r="E61" i="56"/>
  <c r="F61" i="56"/>
  <c r="E62" i="56"/>
  <c r="F62" i="56"/>
  <c r="E63" i="56"/>
  <c r="F63" i="56"/>
  <c r="E64" i="56"/>
  <c r="F64" i="56"/>
  <c r="E65" i="56"/>
  <c r="F65" i="56"/>
  <c r="E66" i="56"/>
  <c r="F66" i="56"/>
  <c r="E67" i="56"/>
  <c r="F67" i="56"/>
  <c r="E68" i="56"/>
  <c r="F68" i="56"/>
  <c r="E69" i="56"/>
  <c r="F69" i="56"/>
  <c r="E70" i="56"/>
  <c r="F70" i="56"/>
  <c r="E71" i="56"/>
  <c r="F71" i="56"/>
  <c r="E72" i="56"/>
  <c r="F72" i="56"/>
  <c r="E73" i="56"/>
  <c r="F73" i="56"/>
  <c r="E74" i="56"/>
  <c r="F74" i="56"/>
  <c r="E75" i="56"/>
  <c r="F75" i="56"/>
  <c r="E76" i="56"/>
  <c r="F76" i="56"/>
  <c r="E77" i="56"/>
  <c r="F77" i="56"/>
  <c r="E78" i="56"/>
  <c r="F78" i="56"/>
  <c r="E79" i="56"/>
  <c r="F79" i="56"/>
  <c r="E80" i="56"/>
  <c r="F80" i="56"/>
  <c r="E81" i="56"/>
  <c r="F81" i="56"/>
  <c r="E82" i="56"/>
  <c r="E83" i="56"/>
  <c r="F83" i="56"/>
  <c r="E84" i="56"/>
  <c r="F84" i="56"/>
  <c r="E85" i="56"/>
  <c r="F85" i="56"/>
  <c r="E86" i="56"/>
  <c r="F86" i="56"/>
  <c r="E87" i="56"/>
  <c r="F87" i="56"/>
  <c r="E88" i="56"/>
  <c r="F88" i="56"/>
  <c r="E89" i="56"/>
  <c r="F89" i="56"/>
  <c r="E90" i="56"/>
  <c r="F90" i="56"/>
  <c r="E91" i="56"/>
  <c r="F91" i="56"/>
  <c r="E92" i="56"/>
  <c r="F92" i="56"/>
  <c r="E93" i="56"/>
  <c r="F93" i="56"/>
  <c r="E94" i="56"/>
  <c r="F94" i="56"/>
  <c r="E95" i="56"/>
  <c r="F95" i="56"/>
  <c r="E96" i="56"/>
  <c r="F96" i="56"/>
  <c r="E97" i="56"/>
  <c r="F97" i="56"/>
  <c r="E98" i="56"/>
  <c r="F98" i="56"/>
  <c r="E99" i="56"/>
  <c r="F99" i="56"/>
  <c r="E100" i="56"/>
  <c r="F100" i="56"/>
  <c r="E101" i="56"/>
  <c r="F101" i="56"/>
  <c r="E102" i="56"/>
  <c r="F102" i="56"/>
  <c r="E103" i="56"/>
  <c r="F103" i="56"/>
  <c r="E104" i="56"/>
  <c r="F104" i="56"/>
  <c r="E105" i="56"/>
  <c r="F105" i="56"/>
  <c r="E106" i="56"/>
  <c r="F106" i="56"/>
  <c r="E107" i="56"/>
  <c r="F107" i="56"/>
  <c r="E108" i="56"/>
  <c r="F108" i="56"/>
  <c r="E109" i="56"/>
  <c r="F109" i="56"/>
  <c r="E110" i="56"/>
  <c r="F110" i="56"/>
  <c r="E111" i="56"/>
  <c r="F111" i="56"/>
  <c r="E112" i="56"/>
  <c r="F112" i="56"/>
  <c r="E113" i="56"/>
  <c r="F113" i="56"/>
  <c r="E114" i="56"/>
  <c r="F114" i="56"/>
  <c r="E115" i="56"/>
  <c r="F115" i="56"/>
  <c r="E116" i="56"/>
  <c r="F116" i="56"/>
  <c r="E117" i="56"/>
  <c r="F117" i="56"/>
  <c r="E118" i="56"/>
  <c r="F118" i="56"/>
  <c r="E119" i="56"/>
  <c r="F119" i="56"/>
  <c r="E120" i="56"/>
  <c r="F120" i="56"/>
  <c r="E121" i="56"/>
  <c r="F121" i="56"/>
  <c r="E122" i="56"/>
  <c r="F122" i="56"/>
  <c r="E123" i="56"/>
  <c r="F123" i="56"/>
  <c r="E124" i="56"/>
  <c r="F124" i="56"/>
  <c r="E125" i="56"/>
  <c r="F125" i="56"/>
  <c r="E126" i="56"/>
  <c r="F126" i="56"/>
  <c r="E127" i="56"/>
  <c r="F127" i="56"/>
  <c r="E128" i="56"/>
  <c r="F128" i="56"/>
  <c r="E129" i="56"/>
  <c r="F129" i="56"/>
  <c r="E130" i="56"/>
  <c r="F130" i="56"/>
  <c r="E131" i="56"/>
  <c r="F131" i="56"/>
  <c r="E132" i="56"/>
  <c r="F132" i="56"/>
  <c r="E133" i="56"/>
  <c r="F133" i="56"/>
  <c r="E134" i="56"/>
  <c r="F134" i="56"/>
  <c r="E135" i="56"/>
  <c r="F135" i="56"/>
  <c r="E136" i="56"/>
  <c r="F136" i="56"/>
  <c r="E137" i="56"/>
  <c r="F137" i="56"/>
  <c r="E138" i="56"/>
  <c r="F138" i="56"/>
  <c r="E139" i="56"/>
  <c r="F139" i="56"/>
  <c r="E140" i="56"/>
  <c r="F140" i="56"/>
  <c r="E141" i="56"/>
  <c r="F141" i="56"/>
  <c r="E142" i="56"/>
  <c r="F142" i="56"/>
  <c r="E143" i="56"/>
  <c r="F143" i="56"/>
  <c r="E144" i="56"/>
  <c r="F144" i="56"/>
  <c r="E145" i="56"/>
  <c r="F145" i="56"/>
  <c r="E146" i="56"/>
  <c r="F146" i="56"/>
  <c r="E147" i="56"/>
  <c r="F147" i="56"/>
  <c r="E148" i="56"/>
  <c r="F148" i="56"/>
  <c r="E149" i="56"/>
  <c r="F149" i="56"/>
  <c r="E150" i="56"/>
  <c r="F150" i="56"/>
  <c r="E151" i="56"/>
  <c r="F151" i="56"/>
  <c r="E152" i="56"/>
  <c r="F152" i="56"/>
  <c r="E153" i="56"/>
  <c r="F153" i="56"/>
  <c r="E154" i="56"/>
  <c r="F154" i="56"/>
  <c r="E155" i="56"/>
  <c r="F155" i="56"/>
  <c r="E156" i="56"/>
  <c r="F156" i="56"/>
  <c r="E157" i="56"/>
  <c r="F157" i="56"/>
  <c r="E158" i="56"/>
  <c r="F158" i="56"/>
  <c r="E159" i="56"/>
  <c r="F159" i="56"/>
  <c r="E160" i="56"/>
  <c r="F160" i="56"/>
  <c r="E161" i="56"/>
  <c r="F161" i="56"/>
  <c r="E162" i="56"/>
  <c r="F162" i="56"/>
  <c r="E163" i="56"/>
  <c r="F163" i="56"/>
  <c r="E164" i="56"/>
  <c r="F164" i="56"/>
  <c r="E165" i="56"/>
  <c r="F165" i="56"/>
  <c r="E166" i="56"/>
  <c r="F166" i="56"/>
  <c r="E167" i="56"/>
  <c r="F167" i="56"/>
  <c r="E168" i="56"/>
  <c r="F168" i="56"/>
  <c r="E169" i="56"/>
  <c r="F169" i="56"/>
  <c r="E170" i="56"/>
  <c r="F170" i="56"/>
  <c r="E171" i="56"/>
  <c r="F171" i="56"/>
  <c r="E172" i="56"/>
  <c r="F172" i="56"/>
  <c r="E173" i="56"/>
  <c r="F173" i="56"/>
  <c r="E174" i="56"/>
  <c r="F174" i="56"/>
  <c r="E175" i="56"/>
  <c r="F175" i="56"/>
  <c r="E176" i="56"/>
  <c r="F176" i="56"/>
  <c r="E177" i="56"/>
  <c r="F177" i="56"/>
  <c r="E178" i="56"/>
  <c r="F178" i="56"/>
  <c r="E179" i="56"/>
  <c r="F179" i="56"/>
  <c r="E180" i="56"/>
  <c r="F180" i="56"/>
  <c r="E181" i="56"/>
  <c r="F181" i="56"/>
  <c r="E182" i="56"/>
  <c r="F182" i="56"/>
  <c r="E183" i="56"/>
  <c r="F183" i="56"/>
  <c r="E184" i="56"/>
  <c r="F184" i="56"/>
  <c r="E185" i="56"/>
  <c r="F185" i="56"/>
  <c r="E186" i="56"/>
  <c r="F186" i="56"/>
  <c r="E187" i="56"/>
  <c r="F187" i="56"/>
  <c r="E188" i="56"/>
  <c r="F188" i="56"/>
  <c r="E189" i="56"/>
  <c r="F189" i="56"/>
  <c r="E190" i="56"/>
  <c r="F190" i="56"/>
  <c r="E191" i="56"/>
  <c r="F191" i="56"/>
  <c r="E192" i="56"/>
  <c r="F192" i="56"/>
  <c r="E193" i="56"/>
  <c r="F193" i="56"/>
  <c r="E194" i="56"/>
  <c r="F194" i="56"/>
  <c r="E195" i="56"/>
  <c r="F195" i="56"/>
  <c r="E196" i="56"/>
  <c r="F196" i="56"/>
  <c r="E197" i="56"/>
  <c r="F197" i="56"/>
  <c r="E198" i="56"/>
  <c r="F198" i="56"/>
  <c r="E199" i="56"/>
  <c r="F199" i="56"/>
  <c r="E200" i="56"/>
  <c r="F200" i="56"/>
  <c r="E201" i="56"/>
  <c r="F201" i="56"/>
  <c r="E202" i="56"/>
  <c r="F202" i="56"/>
  <c r="E203" i="56"/>
  <c r="E204" i="56"/>
  <c r="E205" i="56"/>
  <c r="F205" i="56"/>
  <c r="E206" i="56"/>
  <c r="E207" i="56"/>
  <c r="F207" i="56"/>
  <c r="E208" i="56"/>
  <c r="F208" i="56"/>
  <c r="E209" i="56"/>
  <c r="F209" i="56"/>
  <c r="E210" i="56"/>
  <c r="F210" i="56"/>
  <c r="E211" i="56"/>
  <c r="F211" i="56"/>
  <c r="E212" i="56"/>
  <c r="F212" i="56"/>
  <c r="E213" i="56"/>
  <c r="F213" i="56"/>
  <c r="E214" i="56"/>
  <c r="F214" i="56"/>
  <c r="E215" i="56"/>
  <c r="F215" i="56"/>
  <c r="E216" i="56"/>
  <c r="F216" i="56"/>
  <c r="E217" i="56"/>
  <c r="F217" i="56"/>
  <c r="E218" i="56"/>
  <c r="F218" i="56"/>
  <c r="E219" i="56"/>
  <c r="F219" i="56"/>
  <c r="E220" i="56"/>
  <c r="F220" i="56"/>
  <c r="E221" i="56"/>
  <c r="F221" i="56"/>
  <c r="E222" i="56"/>
  <c r="F222" i="56"/>
  <c r="E223" i="56"/>
  <c r="F223" i="56"/>
  <c r="E224" i="56"/>
  <c r="F224" i="56"/>
  <c r="E225" i="56"/>
  <c r="F225" i="56"/>
  <c r="E226" i="56"/>
  <c r="F226" i="56"/>
  <c r="E227" i="56"/>
  <c r="F227" i="56"/>
  <c r="E228" i="56"/>
  <c r="F228" i="56"/>
  <c r="E229" i="56"/>
  <c r="F229" i="56"/>
  <c r="E230" i="56"/>
  <c r="F230" i="56"/>
  <c r="E231" i="56"/>
  <c r="F231" i="56"/>
  <c r="E232" i="56"/>
  <c r="F232" i="56"/>
  <c r="E233" i="56"/>
  <c r="F233" i="56"/>
  <c r="E234" i="56"/>
  <c r="F234" i="56"/>
  <c r="E235" i="56"/>
  <c r="F235" i="56"/>
  <c r="E236" i="56"/>
  <c r="F236" i="56"/>
  <c r="E237" i="56"/>
  <c r="F237" i="56"/>
  <c r="E238" i="56"/>
  <c r="F238" i="56"/>
  <c r="E239" i="56"/>
  <c r="F239" i="56"/>
  <c r="E240" i="56"/>
  <c r="F240" i="56"/>
  <c r="E241" i="56"/>
  <c r="F241" i="56"/>
  <c r="E242" i="56"/>
  <c r="F242" i="56"/>
  <c r="E243" i="56"/>
  <c r="F243" i="56"/>
  <c r="E244" i="56"/>
  <c r="F244" i="56"/>
  <c r="E245" i="56"/>
  <c r="F245" i="56"/>
  <c r="E246" i="56"/>
  <c r="F246" i="56"/>
  <c r="E247" i="56"/>
  <c r="F247" i="56"/>
  <c r="E248" i="56"/>
  <c r="F248" i="56"/>
  <c r="E249" i="56"/>
  <c r="F249" i="56"/>
  <c r="E250" i="56"/>
  <c r="F250" i="56"/>
  <c r="E251" i="56"/>
  <c r="F251" i="56"/>
  <c r="E252" i="56"/>
  <c r="F252" i="56"/>
  <c r="E253" i="56"/>
  <c r="F253" i="56"/>
  <c r="E254" i="56"/>
  <c r="F254" i="56"/>
  <c r="E255" i="56"/>
  <c r="F255" i="56"/>
  <c r="E256" i="56"/>
  <c r="F256" i="56"/>
  <c r="E257" i="56"/>
  <c r="F257" i="56"/>
  <c r="E258" i="56"/>
  <c r="F258" i="56"/>
  <c r="E259" i="56"/>
  <c r="F259" i="56"/>
  <c r="E260" i="56"/>
  <c r="F260" i="56"/>
  <c r="E261" i="56"/>
  <c r="F261" i="56"/>
  <c r="E262" i="56"/>
  <c r="F262" i="56"/>
  <c r="E263" i="56"/>
  <c r="F263" i="56"/>
  <c r="E264" i="56"/>
  <c r="F264" i="56"/>
  <c r="E265" i="56"/>
  <c r="F265" i="56"/>
  <c r="E266" i="56"/>
  <c r="F266" i="56"/>
  <c r="E267" i="56"/>
  <c r="F267" i="56"/>
  <c r="E268" i="56"/>
  <c r="F268" i="56"/>
  <c r="E269" i="56"/>
  <c r="F269" i="56"/>
  <c r="E270" i="56"/>
  <c r="F270" i="56"/>
  <c r="E271" i="56"/>
  <c r="F271" i="56"/>
  <c r="E272" i="56"/>
  <c r="F272" i="56"/>
  <c r="E273" i="56"/>
  <c r="F273" i="56"/>
  <c r="E274" i="56"/>
  <c r="F274" i="56"/>
  <c r="E275" i="56"/>
  <c r="F275" i="56"/>
  <c r="E276" i="56"/>
  <c r="F276" i="56"/>
  <c r="E277" i="56"/>
  <c r="F277" i="56"/>
  <c r="E278" i="56"/>
  <c r="F278" i="56"/>
  <c r="E279" i="56"/>
  <c r="F279" i="56"/>
  <c r="E280" i="56"/>
  <c r="F280" i="56"/>
  <c r="E281" i="56"/>
  <c r="F281" i="56"/>
  <c r="E282" i="56"/>
  <c r="F282" i="56"/>
  <c r="E283" i="56"/>
  <c r="F283" i="56"/>
  <c r="E284" i="56"/>
  <c r="F284" i="56"/>
  <c r="E285" i="56"/>
  <c r="F285" i="56"/>
  <c r="E286" i="56"/>
  <c r="F286" i="56"/>
  <c r="E287" i="56"/>
  <c r="F287" i="56"/>
  <c r="E288" i="56"/>
  <c r="F288" i="56"/>
  <c r="E289" i="56"/>
  <c r="F289" i="56"/>
  <c r="E290" i="56"/>
  <c r="F290" i="56"/>
  <c r="E291" i="56"/>
  <c r="F291" i="56"/>
  <c r="E292" i="56"/>
  <c r="F292" i="56"/>
  <c r="E293" i="56"/>
  <c r="F293" i="56"/>
  <c r="E294" i="56"/>
  <c r="F294" i="56"/>
  <c r="E295" i="56"/>
  <c r="F295" i="56"/>
  <c r="E296" i="56"/>
  <c r="F296" i="56"/>
  <c r="E297" i="56"/>
  <c r="F297" i="56"/>
  <c r="E298" i="56"/>
  <c r="F298" i="56"/>
  <c r="E299" i="56"/>
  <c r="F299" i="56"/>
  <c r="E300" i="56"/>
  <c r="F300" i="56"/>
  <c r="E301" i="56"/>
  <c r="F301" i="56"/>
  <c r="E302" i="56"/>
  <c r="F302" i="56"/>
  <c r="E303" i="56"/>
  <c r="F303" i="56"/>
  <c r="E304" i="56"/>
  <c r="F304" i="56"/>
  <c r="E305" i="56"/>
  <c r="F305" i="56"/>
  <c r="E306" i="56"/>
  <c r="F306" i="56"/>
  <c r="E307" i="56"/>
  <c r="F307" i="56"/>
  <c r="E308" i="56"/>
  <c r="F308" i="56"/>
  <c r="E309" i="56"/>
  <c r="F309" i="56"/>
  <c r="E310" i="56"/>
  <c r="F310" i="56"/>
  <c r="E311" i="56"/>
  <c r="F311" i="56"/>
  <c r="E312" i="56"/>
  <c r="F312" i="56"/>
  <c r="E313" i="56"/>
  <c r="F313" i="56"/>
  <c r="E314" i="56"/>
  <c r="F314" i="56"/>
  <c r="E315" i="56"/>
  <c r="F315" i="56"/>
  <c r="E316" i="56"/>
  <c r="F316" i="56"/>
  <c r="E317" i="56"/>
  <c r="F317" i="56"/>
  <c r="E318" i="56"/>
  <c r="F318" i="56"/>
  <c r="E319" i="56"/>
  <c r="F319" i="56"/>
  <c r="E320" i="56"/>
  <c r="F320" i="56"/>
  <c r="E321" i="56"/>
  <c r="F321" i="56"/>
  <c r="E322" i="56"/>
  <c r="F322" i="56"/>
  <c r="E323" i="56"/>
  <c r="F323" i="56"/>
  <c r="E324" i="56"/>
  <c r="F324" i="56"/>
  <c r="E325" i="56"/>
  <c r="F325" i="56"/>
  <c r="E326" i="56"/>
  <c r="F326" i="56"/>
  <c r="E327" i="56"/>
  <c r="F327" i="56"/>
  <c r="E328" i="56"/>
  <c r="F328" i="56"/>
  <c r="E329" i="56"/>
  <c r="F329" i="56"/>
  <c r="E330" i="56"/>
  <c r="F330" i="56"/>
  <c r="E331" i="56"/>
  <c r="F331" i="56"/>
  <c r="E332" i="56"/>
  <c r="F332" i="56"/>
  <c r="E333" i="56"/>
  <c r="F333" i="56"/>
  <c r="E334" i="56"/>
  <c r="F334" i="56"/>
  <c r="E335" i="56"/>
  <c r="F335" i="56"/>
  <c r="E336" i="56"/>
  <c r="F336" i="56"/>
  <c r="E337" i="56"/>
  <c r="F337" i="56"/>
  <c r="E338" i="56"/>
  <c r="F338" i="56"/>
  <c r="E339" i="56"/>
  <c r="F339" i="56"/>
  <c r="E340" i="56"/>
  <c r="F340" i="56"/>
  <c r="E341" i="56"/>
  <c r="F341" i="56"/>
  <c r="E342" i="56"/>
  <c r="F342" i="56"/>
  <c r="E343" i="56"/>
  <c r="F343" i="56"/>
  <c r="E344" i="56"/>
  <c r="F344" i="56"/>
  <c r="E345" i="56"/>
  <c r="F345" i="56"/>
  <c r="E346" i="56"/>
  <c r="F346" i="56"/>
  <c r="E347" i="56"/>
  <c r="F347" i="56"/>
  <c r="E348" i="56"/>
  <c r="F348" i="56"/>
  <c r="E349" i="56"/>
  <c r="F349" i="56"/>
  <c r="E350" i="56"/>
  <c r="F350" i="56"/>
  <c r="E351" i="56"/>
  <c r="F351" i="56"/>
  <c r="E352" i="56"/>
  <c r="F352" i="56"/>
  <c r="E353" i="56"/>
  <c r="F353" i="56"/>
  <c r="E354" i="56"/>
  <c r="F354" i="56"/>
  <c r="E355" i="56"/>
  <c r="F355" i="56"/>
  <c r="E356" i="56"/>
  <c r="F356" i="56"/>
  <c r="E357" i="56"/>
  <c r="F357" i="56"/>
  <c r="E358" i="56"/>
  <c r="F358" i="56"/>
  <c r="E359" i="56"/>
  <c r="F359" i="56"/>
  <c r="E360" i="56"/>
  <c r="F360" i="56"/>
  <c r="E361" i="56"/>
  <c r="F361" i="56"/>
  <c r="E362" i="56"/>
  <c r="F362" i="56"/>
  <c r="E363" i="56"/>
  <c r="F363" i="56"/>
  <c r="E364" i="56"/>
  <c r="F364" i="56"/>
  <c r="E365" i="56"/>
  <c r="F365" i="56"/>
  <c r="E366" i="56"/>
  <c r="F366" i="56"/>
  <c r="E367" i="56"/>
  <c r="F367" i="56"/>
  <c r="E368" i="56"/>
  <c r="F368" i="56"/>
  <c r="E369" i="56"/>
  <c r="F369" i="56"/>
  <c r="E370" i="56"/>
  <c r="F370" i="56"/>
  <c r="E371" i="56"/>
  <c r="F371" i="56"/>
  <c r="E372" i="56"/>
  <c r="F372" i="56"/>
  <c r="E373" i="56"/>
  <c r="F373" i="56"/>
  <c r="E374" i="56"/>
  <c r="F374" i="56"/>
  <c r="E375" i="56"/>
  <c r="F375" i="56"/>
  <c r="E376" i="56"/>
  <c r="F376" i="56"/>
  <c r="E377" i="56"/>
  <c r="F377" i="56"/>
  <c r="E378" i="56"/>
  <c r="F378" i="56"/>
  <c r="E379" i="56"/>
  <c r="F379" i="56"/>
  <c r="E380" i="56"/>
  <c r="F380" i="56"/>
  <c r="E381" i="56"/>
  <c r="F381" i="56"/>
  <c r="E382" i="56"/>
  <c r="F382" i="56"/>
  <c r="E383" i="56"/>
  <c r="F383" i="56"/>
  <c r="E384" i="56"/>
  <c r="F384" i="56"/>
  <c r="E385" i="56"/>
  <c r="F385" i="56"/>
  <c r="E386" i="56"/>
  <c r="F386" i="56"/>
  <c r="E387" i="56"/>
  <c r="F387" i="56"/>
  <c r="E388" i="56"/>
  <c r="F388" i="56"/>
  <c r="E389" i="56"/>
  <c r="F389" i="56"/>
  <c r="E390" i="56"/>
  <c r="F390" i="56"/>
  <c r="E391" i="56"/>
  <c r="F391" i="56"/>
  <c r="E392" i="56"/>
  <c r="F392" i="56"/>
  <c r="E393" i="56"/>
  <c r="F393" i="56"/>
  <c r="E394" i="56"/>
  <c r="F394" i="56"/>
  <c r="E395" i="56"/>
  <c r="F395" i="56"/>
  <c r="E396" i="56"/>
  <c r="F396" i="56"/>
  <c r="E397" i="56"/>
  <c r="F397" i="56"/>
  <c r="E398" i="56"/>
  <c r="F398" i="56"/>
  <c r="E399" i="56"/>
  <c r="F399" i="56"/>
  <c r="E400" i="56"/>
  <c r="F400" i="56"/>
  <c r="E401" i="56"/>
  <c r="F401" i="56"/>
  <c r="E402" i="56"/>
  <c r="F402" i="56"/>
  <c r="E403" i="56"/>
  <c r="F403" i="56"/>
  <c r="E404" i="56"/>
  <c r="F404" i="56"/>
  <c r="E405" i="56"/>
  <c r="F405" i="56"/>
  <c r="E406" i="56"/>
  <c r="F406" i="56"/>
  <c r="E407" i="56"/>
  <c r="F407" i="56"/>
  <c r="E408" i="56"/>
  <c r="F408" i="56"/>
  <c r="E409" i="56"/>
  <c r="F409" i="56"/>
  <c r="E410" i="56"/>
  <c r="F410" i="56"/>
  <c r="E411" i="56"/>
  <c r="F411" i="56"/>
  <c r="E412" i="56"/>
  <c r="F412" i="56"/>
  <c r="E413" i="56"/>
  <c r="F413" i="56"/>
  <c r="E414" i="56"/>
  <c r="F414" i="56"/>
  <c r="E415" i="56"/>
  <c r="F415" i="56"/>
  <c r="E416" i="56"/>
  <c r="F416" i="56"/>
  <c r="E417" i="56"/>
  <c r="F417" i="56"/>
  <c r="E418" i="56"/>
  <c r="F418" i="56"/>
  <c r="E419" i="56"/>
  <c r="F419" i="56"/>
  <c r="E420" i="56"/>
  <c r="F420" i="56"/>
  <c r="E421" i="56"/>
  <c r="F421" i="56"/>
  <c r="E422" i="56"/>
  <c r="F422" i="56"/>
  <c r="E423" i="56"/>
  <c r="F423" i="56"/>
  <c r="E424" i="56"/>
  <c r="F424" i="56"/>
  <c r="E425" i="56"/>
  <c r="F425" i="56"/>
  <c r="E426" i="56"/>
  <c r="F426" i="56"/>
  <c r="E427" i="56"/>
  <c r="F427" i="56"/>
  <c r="E428" i="56"/>
  <c r="F428" i="56"/>
  <c r="E429" i="56"/>
  <c r="F429" i="56"/>
  <c r="E430" i="56"/>
  <c r="F430" i="56"/>
  <c r="E431" i="56"/>
  <c r="F431" i="56"/>
  <c r="E432" i="56"/>
  <c r="F432" i="56"/>
  <c r="E433" i="56"/>
  <c r="F433" i="56"/>
  <c r="E434" i="56"/>
  <c r="F434" i="56"/>
  <c r="E435" i="56"/>
  <c r="F435" i="56"/>
  <c r="E436" i="56"/>
  <c r="F436" i="56"/>
  <c r="E437" i="56"/>
  <c r="F437" i="56"/>
  <c r="E438" i="56"/>
  <c r="F438" i="56"/>
  <c r="E439" i="56"/>
  <c r="F439" i="56"/>
  <c r="E440" i="56"/>
  <c r="F440" i="56"/>
  <c r="E441" i="56"/>
  <c r="F441" i="56"/>
  <c r="E442" i="56"/>
  <c r="F442" i="56"/>
  <c r="E443" i="56"/>
  <c r="F443" i="56"/>
  <c r="E444" i="56"/>
  <c r="F444" i="56"/>
  <c r="E445" i="56"/>
  <c r="F445" i="56"/>
  <c r="E446" i="56"/>
  <c r="F446" i="56"/>
  <c r="E447" i="56"/>
  <c r="F447" i="56"/>
  <c r="E448" i="56"/>
  <c r="F448" i="56"/>
  <c r="E449" i="56"/>
  <c r="F449" i="56"/>
  <c r="E450" i="56"/>
  <c r="F450" i="56"/>
  <c r="E451" i="56"/>
  <c r="F451" i="56"/>
  <c r="E452" i="56"/>
  <c r="F452" i="56"/>
  <c r="E453" i="56"/>
  <c r="F453" i="56"/>
  <c r="E454" i="56"/>
  <c r="F454" i="56"/>
  <c r="E455" i="56"/>
  <c r="F455" i="56"/>
  <c r="E456" i="56"/>
  <c r="F456" i="56"/>
  <c r="E457" i="56"/>
  <c r="F457" i="56"/>
  <c r="E458" i="56"/>
  <c r="F458" i="56"/>
  <c r="E459" i="56"/>
  <c r="F459" i="56"/>
  <c r="E460" i="56"/>
  <c r="F460" i="56"/>
  <c r="E461" i="56"/>
  <c r="F461" i="56"/>
  <c r="E462" i="56"/>
  <c r="F462" i="56"/>
  <c r="E463" i="56"/>
  <c r="F463" i="56"/>
  <c r="E464" i="56"/>
  <c r="F464" i="56"/>
  <c r="E465" i="56"/>
  <c r="F465" i="56"/>
  <c r="E466" i="56"/>
  <c r="F466" i="56"/>
  <c r="E467" i="56"/>
  <c r="F467" i="56"/>
  <c r="E468" i="56"/>
  <c r="F468" i="56"/>
  <c r="E469" i="56"/>
  <c r="F469" i="56"/>
  <c r="E470" i="56"/>
  <c r="F470" i="56"/>
  <c r="E471" i="56"/>
  <c r="F471" i="56"/>
  <c r="E472" i="56"/>
  <c r="F472" i="56"/>
  <c r="E473" i="56"/>
  <c r="F473" i="56"/>
  <c r="E474" i="56"/>
  <c r="F474" i="56"/>
  <c r="E475" i="56"/>
  <c r="F475" i="56"/>
  <c r="E476" i="56"/>
  <c r="F476" i="56"/>
  <c r="E477" i="56"/>
  <c r="F477" i="56"/>
  <c r="E478" i="56"/>
  <c r="F478" i="56"/>
  <c r="E479" i="56"/>
  <c r="F479" i="56"/>
  <c r="E480" i="56"/>
  <c r="F480" i="56"/>
  <c r="E481" i="56"/>
  <c r="F481" i="56"/>
  <c r="E482" i="56"/>
  <c r="F482" i="56"/>
  <c r="E483" i="56"/>
  <c r="F483" i="56"/>
  <c r="E484" i="56"/>
  <c r="F484" i="56"/>
  <c r="E485" i="56"/>
  <c r="F485" i="56"/>
  <c r="E486" i="56"/>
  <c r="F486" i="56"/>
  <c r="E487" i="56"/>
  <c r="F487" i="56"/>
  <c r="E488" i="56"/>
  <c r="F488" i="56"/>
  <c r="E489" i="56"/>
  <c r="F489" i="56"/>
  <c r="E490" i="56"/>
  <c r="F490" i="56"/>
  <c r="E491" i="56"/>
  <c r="F491" i="56"/>
  <c r="E492" i="56"/>
  <c r="F492" i="56"/>
  <c r="E493" i="56"/>
  <c r="F493" i="56"/>
  <c r="E494" i="56"/>
  <c r="F494" i="56"/>
  <c r="E495" i="56"/>
  <c r="F495" i="56"/>
  <c r="E496" i="56"/>
  <c r="F496" i="56"/>
  <c r="E497" i="56"/>
  <c r="F497" i="56"/>
  <c r="E498" i="56"/>
  <c r="F498" i="56"/>
  <c r="E499" i="56"/>
  <c r="F499" i="56"/>
  <c r="E500" i="56"/>
  <c r="F500" i="56"/>
  <c r="E501" i="56"/>
  <c r="F501" i="56"/>
  <c r="E502" i="56"/>
  <c r="F502" i="56"/>
  <c r="E503" i="56"/>
  <c r="F503" i="56"/>
  <c r="E504" i="56"/>
  <c r="F504" i="56"/>
  <c r="E505" i="56"/>
  <c r="F505" i="56"/>
  <c r="E506" i="56"/>
  <c r="F506" i="56"/>
  <c r="E507" i="56"/>
  <c r="F507" i="56"/>
  <c r="E508" i="56"/>
  <c r="F508" i="56"/>
  <c r="E509" i="56"/>
  <c r="F509" i="56"/>
  <c r="E510" i="56"/>
  <c r="F510" i="56"/>
  <c r="E511" i="56"/>
  <c r="F511" i="56"/>
  <c r="E512" i="56"/>
  <c r="F512" i="56"/>
  <c r="E513" i="56"/>
  <c r="F513" i="56"/>
  <c r="E514" i="56"/>
  <c r="F514" i="56"/>
  <c r="E515" i="56"/>
  <c r="F515" i="56"/>
  <c r="E516" i="56"/>
  <c r="F516" i="56"/>
  <c r="E517" i="56"/>
  <c r="F517" i="56"/>
  <c r="E518" i="56"/>
  <c r="F518" i="56"/>
  <c r="E519" i="56"/>
  <c r="F519" i="56"/>
  <c r="E520" i="56"/>
  <c r="F520" i="56"/>
  <c r="E521" i="56"/>
  <c r="F521" i="56"/>
  <c r="E522" i="56"/>
  <c r="F522" i="56"/>
  <c r="E523" i="56"/>
  <c r="F523" i="56"/>
  <c r="E524" i="56"/>
  <c r="F524" i="56"/>
  <c r="E525" i="56"/>
  <c r="F525" i="56"/>
  <c r="E526" i="56"/>
  <c r="F526" i="56"/>
  <c r="E527" i="56"/>
  <c r="F527" i="56"/>
  <c r="E528" i="56"/>
  <c r="F528" i="56"/>
  <c r="E529" i="56"/>
  <c r="F529" i="56"/>
  <c r="E530" i="56"/>
  <c r="F530" i="56"/>
  <c r="E531" i="56"/>
  <c r="F531" i="56"/>
  <c r="E532" i="56"/>
  <c r="F532" i="56"/>
  <c r="E533" i="56"/>
  <c r="F533" i="56"/>
  <c r="E534" i="56"/>
  <c r="F534" i="56"/>
  <c r="E535" i="56"/>
  <c r="F535" i="56"/>
  <c r="E536" i="56"/>
  <c r="F536" i="56"/>
  <c r="E537" i="56"/>
  <c r="F537" i="56"/>
  <c r="E538" i="56"/>
  <c r="F538" i="56"/>
  <c r="E539" i="56"/>
  <c r="F539" i="56"/>
  <c r="E540" i="56"/>
  <c r="F540" i="56"/>
  <c r="E541" i="56"/>
  <c r="F541" i="56"/>
  <c r="E542" i="56"/>
  <c r="F542" i="56"/>
  <c r="E543" i="56"/>
  <c r="F543" i="56"/>
  <c r="E544" i="56"/>
  <c r="F544" i="56"/>
  <c r="E545" i="56"/>
  <c r="F545" i="56"/>
  <c r="E546" i="56"/>
  <c r="F546" i="56"/>
  <c r="E547" i="56"/>
  <c r="F547" i="56"/>
  <c r="E548" i="56"/>
  <c r="F548" i="56"/>
  <c r="E549" i="56"/>
  <c r="F549" i="56"/>
  <c r="E550" i="56"/>
  <c r="F550" i="56"/>
  <c r="E551" i="56"/>
  <c r="F551" i="56"/>
  <c r="E552" i="56"/>
  <c r="F552" i="56"/>
  <c r="E553" i="56"/>
  <c r="F553" i="56"/>
  <c r="E554" i="56"/>
  <c r="F554" i="56"/>
  <c r="E555" i="56"/>
  <c r="F555" i="56"/>
  <c r="E556" i="56"/>
  <c r="F556" i="56"/>
  <c r="E557" i="56"/>
  <c r="F557" i="56"/>
  <c r="E558" i="56"/>
  <c r="F558" i="56"/>
  <c r="E559" i="56"/>
  <c r="F559" i="56"/>
  <c r="E560" i="56"/>
  <c r="F560" i="56"/>
  <c r="E561" i="56"/>
  <c r="F561" i="56"/>
  <c r="E562" i="56"/>
  <c r="F562" i="56"/>
  <c r="E563" i="56"/>
  <c r="F563" i="56"/>
  <c r="E564" i="56"/>
  <c r="F564" i="56"/>
  <c r="E565" i="56"/>
  <c r="F565" i="56"/>
  <c r="E566" i="56"/>
  <c r="F566" i="56"/>
  <c r="E567" i="56"/>
  <c r="F567" i="56"/>
  <c r="E568" i="56"/>
  <c r="F568" i="56"/>
  <c r="E569" i="56"/>
  <c r="F569" i="56"/>
  <c r="E570" i="56"/>
  <c r="F570" i="56"/>
  <c r="E571" i="56"/>
  <c r="F571" i="56"/>
  <c r="E572" i="56"/>
  <c r="F572" i="56"/>
  <c r="E573" i="56"/>
  <c r="F573" i="56"/>
  <c r="E574" i="56"/>
  <c r="F574" i="56"/>
  <c r="E575" i="56"/>
  <c r="F575" i="56"/>
  <c r="E576" i="56"/>
  <c r="F576" i="56"/>
  <c r="E577" i="56"/>
  <c r="F577" i="56"/>
  <c r="E578" i="56"/>
  <c r="F578" i="56"/>
  <c r="E579" i="56"/>
  <c r="F579" i="56"/>
  <c r="E580" i="56"/>
  <c r="F580" i="56"/>
  <c r="E581" i="56"/>
  <c r="F581" i="56"/>
  <c r="E582" i="56"/>
  <c r="F582" i="56"/>
  <c r="E583" i="56"/>
  <c r="F583" i="56"/>
  <c r="E584" i="56"/>
  <c r="F584" i="56"/>
  <c r="E585" i="56"/>
  <c r="F585" i="56"/>
  <c r="E586" i="56"/>
  <c r="F586" i="56"/>
  <c r="E587" i="56"/>
  <c r="F587" i="56"/>
  <c r="E588" i="56"/>
  <c r="F588" i="56"/>
  <c r="E589" i="56"/>
  <c r="F589" i="56"/>
  <c r="E590" i="56"/>
  <c r="F590" i="56"/>
  <c r="E591" i="56"/>
  <c r="F591" i="56"/>
  <c r="E592" i="56"/>
  <c r="F592" i="56"/>
  <c r="E593" i="56"/>
  <c r="F593" i="56"/>
  <c r="E594" i="56"/>
  <c r="F594" i="56"/>
  <c r="E595" i="56"/>
  <c r="F595" i="56"/>
  <c r="E596" i="56"/>
  <c r="F596" i="56"/>
  <c r="E597" i="56"/>
  <c r="F597" i="56"/>
  <c r="E598" i="56"/>
  <c r="F598" i="56"/>
  <c r="E599" i="56"/>
  <c r="F599" i="56"/>
  <c r="E600" i="56"/>
  <c r="F600" i="56"/>
  <c r="E601" i="56"/>
  <c r="F601" i="56"/>
  <c r="E602" i="56"/>
  <c r="F602" i="56"/>
  <c r="E603" i="56"/>
  <c r="F603" i="56"/>
  <c r="E604" i="56"/>
  <c r="F604" i="56"/>
  <c r="E605" i="56"/>
  <c r="F605" i="56"/>
  <c r="E606" i="56"/>
  <c r="F606" i="56"/>
  <c r="E607" i="56"/>
  <c r="F607" i="56"/>
  <c r="E608" i="56"/>
  <c r="F608" i="56"/>
  <c r="E609" i="56"/>
  <c r="F609" i="56"/>
  <c r="E610" i="56"/>
  <c r="F610" i="56"/>
  <c r="E611" i="56"/>
  <c r="F611" i="56"/>
  <c r="E612" i="56"/>
  <c r="F612" i="56"/>
  <c r="E613" i="56"/>
  <c r="F613" i="56"/>
  <c r="E614" i="56"/>
  <c r="F614" i="56"/>
  <c r="E615" i="56"/>
  <c r="F615" i="56"/>
  <c r="E616" i="56"/>
  <c r="F616" i="56"/>
  <c r="E617" i="56"/>
  <c r="F617" i="56"/>
  <c r="E618" i="56"/>
  <c r="F618" i="56"/>
  <c r="E619" i="56"/>
  <c r="F619" i="56"/>
  <c r="E620" i="56"/>
  <c r="F620" i="56"/>
  <c r="E621" i="56"/>
  <c r="F621" i="56"/>
  <c r="E622" i="56"/>
  <c r="F622" i="56"/>
  <c r="E623" i="56"/>
  <c r="F623" i="56"/>
  <c r="E624" i="56"/>
  <c r="F624" i="56"/>
  <c r="E625" i="56"/>
  <c r="F625" i="56"/>
  <c r="E626" i="56"/>
  <c r="F626" i="56"/>
  <c r="E627" i="56"/>
  <c r="F627" i="56"/>
  <c r="E628" i="56"/>
  <c r="F628" i="56"/>
  <c r="E629" i="56"/>
  <c r="F629" i="56"/>
  <c r="E630" i="56"/>
  <c r="F630" i="56"/>
  <c r="E631" i="56"/>
  <c r="F631" i="56"/>
  <c r="E632" i="56"/>
  <c r="F632" i="56"/>
  <c r="E633" i="56"/>
  <c r="F633" i="56"/>
  <c r="E634" i="56"/>
  <c r="F634" i="56"/>
  <c r="E635" i="56"/>
  <c r="F635" i="56"/>
  <c r="E636" i="56"/>
  <c r="F636" i="56"/>
  <c r="E637" i="56"/>
  <c r="F637" i="56"/>
  <c r="E638" i="56"/>
  <c r="F638" i="56"/>
  <c r="E639" i="56"/>
  <c r="F639" i="56"/>
  <c r="E640" i="56"/>
  <c r="F640" i="56"/>
  <c r="E641" i="56"/>
  <c r="F641" i="56"/>
  <c r="E642" i="56"/>
  <c r="F642" i="56"/>
  <c r="E643" i="56"/>
  <c r="F643" i="56"/>
  <c r="E644" i="56"/>
  <c r="F644" i="56"/>
  <c r="E645" i="56"/>
  <c r="F645" i="56"/>
  <c r="E646" i="56"/>
  <c r="F646" i="56"/>
  <c r="E647" i="56"/>
  <c r="F647" i="56"/>
  <c r="E648" i="56"/>
  <c r="F648" i="56"/>
  <c r="E649" i="56"/>
  <c r="F649" i="56"/>
  <c r="E650" i="56"/>
  <c r="F650" i="56"/>
  <c r="E651" i="56"/>
  <c r="F651" i="56"/>
  <c r="E652" i="56"/>
  <c r="F652" i="56"/>
  <c r="E653" i="56"/>
  <c r="F653" i="56"/>
  <c r="E654" i="56"/>
  <c r="F654" i="56"/>
  <c r="E655" i="56"/>
  <c r="F655" i="56"/>
  <c r="E656" i="56"/>
  <c r="F656" i="56"/>
  <c r="E657" i="56"/>
  <c r="F657" i="56"/>
  <c r="E658" i="56"/>
  <c r="E659" i="56"/>
  <c r="E660" i="56"/>
  <c r="E661" i="56"/>
  <c r="E662" i="56"/>
  <c r="E663" i="56"/>
  <c r="F663" i="56"/>
  <c r="E664" i="56"/>
  <c r="F664" i="56"/>
  <c r="E665" i="56"/>
  <c r="F665" i="56"/>
  <c r="E666" i="56"/>
  <c r="F666" i="56"/>
  <c r="E667" i="56"/>
  <c r="F667" i="56"/>
  <c r="E668" i="56"/>
  <c r="F668" i="56"/>
  <c r="E669" i="56"/>
  <c r="F669" i="56"/>
  <c r="E670" i="56"/>
  <c r="F670" i="56"/>
  <c r="E671" i="56"/>
  <c r="F671" i="56"/>
  <c r="E672" i="56"/>
  <c r="F672" i="56"/>
  <c r="E673" i="56"/>
  <c r="F673" i="56"/>
  <c r="E674" i="56"/>
  <c r="F674" i="56"/>
  <c r="E675" i="56"/>
  <c r="F675" i="56"/>
  <c r="E676" i="56"/>
  <c r="F676" i="56"/>
  <c r="E677" i="56"/>
  <c r="F677" i="56"/>
  <c r="E678" i="56"/>
  <c r="F678" i="56"/>
  <c r="E679" i="56"/>
  <c r="F679" i="56"/>
  <c r="E680" i="56"/>
  <c r="F680" i="56"/>
  <c r="E681" i="56"/>
  <c r="F681" i="56"/>
  <c r="E682" i="56"/>
  <c r="F682" i="56"/>
  <c r="E683" i="56"/>
  <c r="F683" i="56"/>
  <c r="E684" i="56"/>
  <c r="F684" i="56"/>
  <c r="E685" i="56"/>
  <c r="F685" i="56"/>
  <c r="E686" i="56"/>
  <c r="F686" i="56"/>
  <c r="E687" i="56"/>
  <c r="F687" i="56"/>
  <c r="E688" i="56"/>
  <c r="F688" i="56"/>
  <c r="E689" i="56"/>
  <c r="F689" i="56"/>
  <c r="E690" i="56"/>
  <c r="F690" i="56"/>
  <c r="E691" i="56"/>
  <c r="F691" i="56"/>
  <c r="E692" i="56"/>
  <c r="F692" i="56"/>
  <c r="E693" i="56"/>
  <c r="F693" i="56"/>
  <c r="E694" i="56"/>
  <c r="F694" i="56"/>
  <c r="E695" i="56"/>
  <c r="F695" i="56"/>
  <c r="E696" i="56"/>
  <c r="F696" i="56"/>
  <c r="E697" i="56"/>
  <c r="F697" i="56"/>
  <c r="E698" i="56"/>
  <c r="F698" i="56"/>
  <c r="E699" i="56"/>
  <c r="F699" i="56"/>
  <c r="E700" i="56"/>
  <c r="F700" i="56"/>
  <c r="E701" i="56"/>
  <c r="F701" i="56"/>
  <c r="E702" i="56"/>
  <c r="F702" i="56"/>
  <c r="E703" i="56"/>
  <c r="F703" i="56"/>
  <c r="E704" i="56"/>
  <c r="F704" i="56"/>
  <c r="E705" i="56"/>
  <c r="F705" i="56"/>
  <c r="E706" i="56"/>
  <c r="F706" i="56"/>
  <c r="E707" i="56"/>
  <c r="F707" i="56"/>
  <c r="E708" i="56"/>
  <c r="F708" i="56"/>
  <c r="E709" i="56"/>
  <c r="F709" i="56"/>
  <c r="E710" i="56"/>
  <c r="F710" i="56"/>
  <c r="E711" i="56"/>
  <c r="F711" i="56"/>
  <c r="E712" i="56"/>
  <c r="F712" i="56"/>
  <c r="E713" i="56"/>
  <c r="F713" i="56"/>
  <c r="E714" i="56"/>
  <c r="F714" i="56"/>
  <c r="E715" i="56"/>
  <c r="F715" i="56"/>
  <c r="E716" i="56"/>
  <c r="F716" i="56"/>
  <c r="E717" i="56"/>
  <c r="F717" i="56"/>
  <c r="E718" i="56"/>
  <c r="F718" i="56"/>
  <c r="E719" i="56"/>
  <c r="F719" i="56"/>
  <c r="E720" i="56"/>
  <c r="F720" i="56"/>
  <c r="E721" i="56"/>
  <c r="F721" i="56"/>
  <c r="E722" i="56"/>
  <c r="F722" i="56"/>
  <c r="E723" i="56"/>
  <c r="F723" i="56"/>
  <c r="E724" i="56"/>
  <c r="F724" i="56"/>
  <c r="E725" i="56"/>
  <c r="F725" i="56"/>
  <c r="E726" i="56"/>
  <c r="F726" i="56"/>
  <c r="E727" i="56"/>
  <c r="F727" i="56"/>
  <c r="E728" i="56"/>
  <c r="F728" i="56"/>
  <c r="E729" i="56"/>
  <c r="F729" i="56"/>
  <c r="E730" i="56"/>
  <c r="F730" i="56"/>
  <c r="E731" i="56"/>
  <c r="F731" i="56"/>
  <c r="E732" i="56"/>
  <c r="F732" i="56"/>
  <c r="E733" i="56"/>
  <c r="F733" i="56"/>
  <c r="E734" i="56"/>
  <c r="F734" i="56"/>
  <c r="E735" i="56"/>
  <c r="F735" i="56"/>
  <c r="E736" i="56"/>
  <c r="F736" i="56"/>
  <c r="E737" i="56"/>
  <c r="F737" i="56"/>
  <c r="E738" i="56"/>
  <c r="F738" i="56"/>
  <c r="E739" i="56"/>
  <c r="F739" i="56"/>
  <c r="E740" i="56"/>
  <c r="F740" i="56"/>
  <c r="E741" i="56"/>
  <c r="F741" i="56"/>
  <c r="E742" i="56"/>
  <c r="F742" i="56"/>
  <c r="E743" i="56"/>
  <c r="F743" i="56"/>
  <c r="E744" i="56"/>
  <c r="F744" i="56"/>
  <c r="E745" i="56"/>
  <c r="F745" i="56"/>
  <c r="E746" i="56"/>
  <c r="F746" i="56"/>
  <c r="E747" i="56"/>
  <c r="F747" i="56"/>
  <c r="E748" i="56"/>
  <c r="F748" i="56"/>
  <c r="E749" i="56"/>
  <c r="F749" i="56"/>
  <c r="E750" i="56"/>
  <c r="F750" i="56"/>
  <c r="E751" i="56"/>
  <c r="F751" i="56"/>
  <c r="E752" i="56"/>
  <c r="F752" i="56"/>
  <c r="E753" i="56"/>
  <c r="F753" i="56"/>
  <c r="E754" i="56"/>
  <c r="F754" i="56"/>
  <c r="E755" i="56"/>
  <c r="F755" i="56"/>
  <c r="E756" i="56"/>
  <c r="F756" i="56"/>
  <c r="E757" i="56"/>
  <c r="F757" i="56"/>
  <c r="E758" i="56"/>
  <c r="F758" i="56"/>
  <c r="E759" i="56"/>
  <c r="F759" i="56"/>
  <c r="E760" i="56"/>
  <c r="F760" i="56"/>
  <c r="E761" i="56"/>
  <c r="F761" i="56"/>
  <c r="E762" i="56"/>
  <c r="F762" i="56"/>
  <c r="E763" i="56"/>
  <c r="F763" i="56"/>
  <c r="E764" i="56"/>
  <c r="F764" i="56"/>
  <c r="E765" i="56"/>
  <c r="F765" i="56"/>
  <c r="E766" i="56"/>
  <c r="F766" i="56"/>
  <c r="E767" i="56"/>
  <c r="F767" i="56"/>
  <c r="E768" i="56"/>
  <c r="F768" i="56"/>
  <c r="E769" i="56"/>
  <c r="F769" i="56"/>
  <c r="E770" i="56"/>
  <c r="F770" i="56"/>
  <c r="E771" i="56"/>
  <c r="F771" i="56"/>
  <c r="E772" i="56"/>
  <c r="F772" i="56"/>
  <c r="E773" i="56"/>
  <c r="F773" i="56"/>
  <c r="E774" i="56"/>
  <c r="F774" i="56"/>
  <c r="E775" i="56"/>
  <c r="F775" i="56"/>
  <c r="E776" i="56"/>
  <c r="F776" i="56"/>
  <c r="E777" i="56"/>
  <c r="F777" i="56"/>
  <c r="E778" i="56"/>
  <c r="F778" i="56"/>
  <c r="E779" i="56"/>
  <c r="F779" i="56"/>
  <c r="E780" i="56"/>
  <c r="F780" i="56"/>
  <c r="E781" i="56"/>
  <c r="F781" i="56"/>
  <c r="E782" i="56"/>
  <c r="F782" i="56"/>
  <c r="E783" i="56"/>
  <c r="F783" i="56"/>
  <c r="E784" i="56"/>
  <c r="F784" i="56"/>
  <c r="E785" i="56"/>
  <c r="F785" i="56"/>
  <c r="E786" i="56"/>
  <c r="F786" i="56"/>
  <c r="E787" i="56"/>
  <c r="F787" i="56"/>
  <c r="E788" i="56"/>
  <c r="F788" i="56"/>
  <c r="E789" i="56"/>
  <c r="F789" i="56"/>
  <c r="E790" i="56"/>
  <c r="F790" i="56"/>
  <c r="E791" i="56"/>
  <c r="F791" i="56"/>
  <c r="E792" i="56"/>
  <c r="F792" i="56"/>
  <c r="E793" i="56"/>
  <c r="F793" i="56"/>
  <c r="E794" i="56"/>
  <c r="F794" i="56"/>
  <c r="E795" i="56"/>
  <c r="F795" i="56"/>
  <c r="E796" i="56"/>
  <c r="F796" i="56"/>
  <c r="E797" i="56"/>
  <c r="F797" i="56"/>
  <c r="E798" i="56"/>
  <c r="F798" i="56"/>
  <c r="E799" i="56"/>
  <c r="F799" i="56"/>
  <c r="E800" i="56"/>
  <c r="F800" i="56"/>
  <c r="E801" i="56"/>
  <c r="F801" i="56"/>
  <c r="E802" i="56"/>
  <c r="F802" i="56"/>
  <c r="E803" i="56"/>
  <c r="F803" i="56"/>
  <c r="E804" i="56"/>
  <c r="F804" i="56"/>
  <c r="E805" i="56"/>
  <c r="F805" i="56"/>
  <c r="E806" i="56"/>
  <c r="F806" i="56"/>
  <c r="E807" i="56"/>
  <c r="F807" i="56"/>
  <c r="E808" i="56"/>
  <c r="F808" i="56"/>
  <c r="E809" i="56"/>
  <c r="F809" i="56"/>
  <c r="F810" i="56"/>
  <c r="F34" i="44" l="1"/>
  <c r="F35" i="44"/>
  <c r="G69" i="59"/>
  <c r="H69" i="59"/>
  <c r="G463" i="59"/>
  <c r="H463" i="59"/>
  <c r="G600" i="59"/>
  <c r="H600" i="59"/>
  <c r="G669" i="59"/>
  <c r="H669" i="59"/>
  <c r="G743" i="59"/>
  <c r="H743" i="59"/>
  <c r="A158" i="60"/>
  <c r="E599" i="59"/>
  <c r="E668" i="59"/>
  <c r="E462" i="59"/>
  <c r="E68" i="59"/>
  <c r="E742" i="59"/>
  <c r="A745" i="59"/>
  <c r="A671" i="59"/>
  <c r="A602" i="59"/>
  <c r="A465" i="59"/>
  <c r="A71" i="59"/>
  <c r="G70" i="59" l="1"/>
  <c r="H70" i="59"/>
  <c r="G464" i="59"/>
  <c r="H464" i="59"/>
  <c r="G601" i="59"/>
  <c r="H601" i="59"/>
  <c r="G670" i="59"/>
  <c r="H670" i="59"/>
  <c r="G744" i="59"/>
  <c r="H744" i="59"/>
  <c r="E463" i="59"/>
  <c r="E69" i="59"/>
  <c r="A159" i="60"/>
  <c r="E743" i="59"/>
  <c r="E669" i="59"/>
  <c r="A746" i="59"/>
  <c r="A672" i="59"/>
  <c r="E600" i="59"/>
  <c r="A603" i="59"/>
  <c r="A466" i="59"/>
  <c r="A72" i="59"/>
  <c r="G71" i="59" l="1"/>
  <c r="H71" i="59"/>
  <c r="H465" i="59"/>
  <c r="G465" i="59"/>
  <c r="G602" i="59"/>
  <c r="H602" i="59"/>
  <c r="G603" i="59"/>
  <c r="H603" i="59"/>
  <c r="G671" i="59"/>
  <c r="H671" i="59"/>
  <c r="G745" i="59"/>
  <c r="H745" i="59"/>
  <c r="E70" i="59"/>
  <c r="A160" i="60"/>
  <c r="E744" i="59"/>
  <c r="E601" i="59"/>
  <c r="E670" i="59"/>
  <c r="A747" i="59"/>
  <c r="A673" i="59"/>
  <c r="A467" i="59"/>
  <c r="E464" i="59"/>
  <c r="A73" i="59"/>
  <c r="G72" i="59" l="1"/>
  <c r="H72" i="59"/>
  <c r="G466" i="59"/>
  <c r="H466" i="59"/>
  <c r="G672" i="59"/>
  <c r="H672" i="59"/>
  <c r="G746" i="59"/>
  <c r="A161" i="60"/>
  <c r="E745" i="59"/>
  <c r="E602" i="59"/>
  <c r="E465" i="59"/>
  <c r="E71" i="59"/>
  <c r="H746" i="59"/>
  <c r="A748" i="59"/>
  <c r="G747" i="59"/>
  <c r="A674" i="59"/>
  <c r="E671" i="59"/>
  <c r="E603" i="59"/>
  <c r="A468" i="59"/>
  <c r="A74" i="59"/>
  <c r="F7" i="15"/>
  <c r="G73" i="59" l="1"/>
  <c r="H73" i="59"/>
  <c r="G467" i="59"/>
  <c r="H467" i="59"/>
  <c r="G673" i="59"/>
  <c r="H673" i="59"/>
  <c r="A162" i="60"/>
  <c r="E672" i="59"/>
  <c r="E746" i="59"/>
  <c r="H747" i="59"/>
  <c r="G748" i="59"/>
  <c r="A749" i="59"/>
  <c r="A675" i="59"/>
  <c r="E466" i="59"/>
  <c r="A469" i="59"/>
  <c r="E72" i="59"/>
  <c r="A75" i="59"/>
  <c r="G74" i="59" l="1"/>
  <c r="H74" i="59"/>
  <c r="G468" i="59"/>
  <c r="H468" i="59"/>
  <c r="G674" i="59"/>
  <c r="H674" i="59"/>
  <c r="H748" i="59"/>
  <c r="A163" i="60"/>
  <c r="E467" i="59"/>
  <c r="E747" i="59"/>
  <c r="A750" i="59"/>
  <c r="G749" i="59"/>
  <c r="A676" i="59"/>
  <c r="E673" i="59"/>
  <c r="A470" i="59"/>
  <c r="A76" i="59"/>
  <c r="E73" i="59"/>
  <c r="J5" i="49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763" i="49"/>
  <c r="J4" i="49"/>
  <c r="K4" i="49" s="1"/>
  <c r="G75" i="59" l="1"/>
  <c r="G469" i="59"/>
  <c r="H469" i="59"/>
  <c r="G675" i="59"/>
  <c r="H675" i="59"/>
  <c r="H749" i="59"/>
  <c r="A164" i="60"/>
  <c r="E674" i="59"/>
  <c r="E74" i="59"/>
  <c r="E468" i="59"/>
  <c r="E748" i="59"/>
  <c r="A751" i="59"/>
  <c r="G750" i="59"/>
  <c r="A677" i="59"/>
  <c r="A471" i="59"/>
  <c r="H75" i="59"/>
  <c r="A77" i="59"/>
  <c r="G76" i="59" l="1"/>
  <c r="G470" i="59"/>
  <c r="G677" i="59"/>
  <c r="H677" i="59"/>
  <c r="G676" i="59"/>
  <c r="H676" i="59"/>
  <c r="H750" i="59"/>
  <c r="A165" i="60"/>
  <c r="E749" i="59"/>
  <c r="E675" i="59"/>
  <c r="G751" i="59"/>
  <c r="A752" i="59"/>
  <c r="E469" i="59"/>
  <c r="H470" i="59"/>
  <c r="A472" i="59"/>
  <c r="E75" i="59"/>
  <c r="A78" i="59"/>
  <c r="H76" i="59"/>
  <c r="G77" i="59" l="1"/>
  <c r="G471" i="59"/>
  <c r="H751" i="59"/>
  <c r="A166" i="60"/>
  <c r="E750" i="59"/>
  <c r="A753" i="59"/>
  <c r="G752" i="59"/>
  <c r="E676" i="59"/>
  <c r="E677" i="59"/>
  <c r="H471" i="59"/>
  <c r="A473" i="59"/>
  <c r="E470" i="59"/>
  <c r="E76" i="59"/>
  <c r="H77" i="59"/>
  <c r="A79" i="59"/>
  <c r="G78" i="59" l="1"/>
  <c r="G472" i="59"/>
  <c r="H752" i="59"/>
  <c r="A167" i="60"/>
  <c r="E751" i="59"/>
  <c r="A754" i="59"/>
  <c r="G753" i="59"/>
  <c r="H472" i="59"/>
  <c r="A474" i="59"/>
  <c r="E471" i="59"/>
  <c r="A80" i="59"/>
  <c r="E77" i="59"/>
  <c r="H78" i="59"/>
  <c r="G79" i="59" l="1"/>
  <c r="H79" i="59"/>
  <c r="G473" i="59"/>
  <c r="H753" i="59"/>
  <c r="A168" i="60"/>
  <c r="E752" i="59"/>
  <c r="A755" i="59"/>
  <c r="G754" i="59"/>
  <c r="H473" i="59"/>
  <c r="A475" i="59"/>
  <c r="E472" i="59"/>
  <c r="A81" i="59"/>
  <c r="E78" i="5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G80" i="59" l="1"/>
  <c r="H80" i="59"/>
  <c r="G474" i="59"/>
  <c r="H754" i="59"/>
  <c r="A169" i="60"/>
  <c r="E753" i="59"/>
  <c r="E473" i="59"/>
  <c r="E79" i="59"/>
  <c r="A756" i="59"/>
  <c r="G755" i="59"/>
  <c r="A476" i="59"/>
  <c r="H474" i="59"/>
  <c r="A82" i="59"/>
  <c r="F263" i="49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G81" i="59" l="1"/>
  <c r="H81" i="59"/>
  <c r="G475" i="59"/>
  <c r="H475" i="59"/>
  <c r="H755" i="59"/>
  <c r="A170" i="60"/>
  <c r="E754" i="59"/>
  <c r="E474" i="59"/>
  <c r="G756" i="59"/>
  <c r="A757" i="59"/>
  <c r="A477" i="59"/>
  <c r="E80" i="59"/>
  <c r="A83" i="59"/>
  <c r="G82" i="59" l="1"/>
  <c r="H82" i="59"/>
  <c r="G476" i="59"/>
  <c r="H476" i="59"/>
  <c r="H756" i="59"/>
  <c r="A171" i="60"/>
  <c r="E81" i="59"/>
  <c r="E755" i="59"/>
  <c r="E475" i="59"/>
  <c r="A758" i="59"/>
  <c r="G757" i="59"/>
  <c r="A478" i="59"/>
  <c r="A84" i="59"/>
  <c r="G83" i="59" l="1"/>
  <c r="H83" i="59"/>
  <c r="H477" i="59"/>
  <c r="G477" i="59"/>
  <c r="H757" i="59"/>
  <c r="A172" i="60"/>
  <c r="E756" i="59"/>
  <c r="E82" i="59"/>
  <c r="G758" i="59"/>
  <c r="A759" i="59"/>
  <c r="A479" i="59"/>
  <c r="E476" i="59"/>
  <c r="A85" i="59"/>
  <c r="D76" i="43"/>
  <c r="H76" i="43" s="1"/>
  <c r="C76" i="43"/>
  <c r="F76" i="43" s="1"/>
  <c r="J75" i="43"/>
  <c r="H75" i="43"/>
  <c r="F75" i="43"/>
  <c r="J74" i="43"/>
  <c r="H74" i="43"/>
  <c r="J73" i="43"/>
  <c r="H73" i="43"/>
  <c r="J72" i="43"/>
  <c r="H72" i="43"/>
  <c r="J71" i="43"/>
  <c r="G84" i="59" l="1"/>
  <c r="H84" i="59"/>
  <c r="G478" i="59"/>
  <c r="H478" i="59"/>
  <c r="H758" i="59"/>
  <c r="A173" i="60"/>
  <c r="E83" i="59"/>
  <c r="E757" i="59"/>
  <c r="G759" i="59"/>
  <c r="A760" i="59"/>
  <c r="A480" i="59"/>
  <c r="E477" i="59"/>
  <c r="A86" i="59"/>
  <c r="J76" i="43"/>
  <c r="G85" i="59" l="1"/>
  <c r="H85" i="59"/>
  <c r="G479" i="59"/>
  <c r="H479" i="59"/>
  <c r="H759" i="59"/>
  <c r="A174" i="60"/>
  <c r="E84" i="59"/>
  <c r="E758" i="59"/>
  <c r="G760" i="59"/>
  <c r="A481" i="59"/>
  <c r="E478" i="59"/>
  <c r="A87" i="59"/>
  <c r="I4" i="49"/>
  <c r="G86" i="59" l="1"/>
  <c r="H86" i="59"/>
  <c r="G480" i="59"/>
  <c r="H480" i="59"/>
  <c r="H760" i="59"/>
  <c r="A175" i="60"/>
  <c r="E759" i="59"/>
  <c r="E479" i="59"/>
  <c r="A482" i="59"/>
  <c r="E85" i="59"/>
  <c r="A88" i="59"/>
  <c r="G87" i="59" l="1"/>
  <c r="H87" i="59"/>
  <c r="H481" i="59"/>
  <c r="G481" i="59"/>
  <c r="A176" i="60"/>
  <c r="E760" i="59"/>
  <c r="A483" i="59"/>
  <c r="E480" i="59"/>
  <c r="A89" i="59"/>
  <c r="E86" i="59"/>
  <c r="M145" i="44"/>
  <c r="M304" i="44" l="1"/>
  <c r="M305" i="44"/>
  <c r="M307" i="44"/>
  <c r="M308" i="44"/>
  <c r="M157" i="44"/>
  <c r="M146" i="44"/>
  <c r="M147" i="44"/>
  <c r="M148" i="44"/>
  <c r="M149" i="44"/>
  <c r="M150" i="44"/>
  <c r="M151" i="44"/>
  <c r="M152" i="44"/>
  <c r="M153" i="44"/>
  <c r="M154" i="44"/>
  <c r="M155" i="44"/>
  <c r="M156" i="44"/>
  <c r="M144" i="44"/>
  <c r="G88" i="59"/>
  <c r="H88" i="59"/>
  <c r="G482" i="59"/>
  <c r="H482" i="59"/>
  <c r="A177" i="60"/>
  <c r="E481" i="59"/>
  <c r="A484" i="59"/>
  <c r="E87" i="59"/>
  <c r="A90" i="59"/>
  <c r="L145" i="44"/>
  <c r="M309" i="44" l="1"/>
  <c r="M306" i="44"/>
  <c r="L307" i="44"/>
  <c r="L308" i="44"/>
  <c r="L304" i="44"/>
  <c r="L305" i="44"/>
  <c r="M161" i="44"/>
  <c r="M169" i="44"/>
  <c r="L146" i="44"/>
  <c r="L147" i="44"/>
  <c r="L148" i="44"/>
  <c r="L149" i="44"/>
  <c r="L150" i="44"/>
  <c r="L151" i="44"/>
  <c r="L152" i="44"/>
  <c r="L153" i="44"/>
  <c r="L154" i="44"/>
  <c r="L155" i="44"/>
  <c r="L156" i="44"/>
  <c r="L157" i="44"/>
  <c r="L144" i="44"/>
  <c r="M160" i="44"/>
  <c r="M168" i="44"/>
  <c r="M158" i="44"/>
  <c r="G89" i="59"/>
  <c r="H89" i="59"/>
  <c r="G483" i="59"/>
  <c r="H483" i="59"/>
  <c r="A178" i="60"/>
  <c r="E88" i="59"/>
  <c r="E482" i="59"/>
  <c r="A485" i="59"/>
  <c r="A91" i="59"/>
  <c r="K145" i="44"/>
  <c r="M310" i="44" l="1"/>
  <c r="L309" i="44"/>
  <c r="L306" i="44"/>
  <c r="K307" i="44"/>
  <c r="K308" i="44"/>
  <c r="K304" i="44"/>
  <c r="K305" i="44"/>
  <c r="L161" i="44"/>
  <c r="L169" i="44"/>
  <c r="M171" i="44"/>
  <c r="K146" i="44"/>
  <c r="K147" i="44"/>
  <c r="K148" i="44"/>
  <c r="K149" i="44"/>
  <c r="K150" i="44"/>
  <c r="K152" i="44"/>
  <c r="K153" i="44"/>
  <c r="K154" i="44"/>
  <c r="K155" i="44"/>
  <c r="K156" i="44"/>
  <c r="K157" i="44"/>
  <c r="K151" i="44"/>
  <c r="M170" i="44"/>
  <c r="M162" i="44"/>
  <c r="L158" i="44"/>
  <c r="L168" i="44"/>
  <c r="L160" i="44"/>
  <c r="K144" i="44"/>
  <c r="M163" i="44"/>
  <c r="G90" i="59"/>
  <c r="H90" i="59"/>
  <c r="G484" i="59"/>
  <c r="H484" i="59"/>
  <c r="A179" i="60"/>
  <c r="E483" i="59"/>
  <c r="A486" i="59"/>
  <c r="E89" i="59"/>
  <c r="A92" i="59"/>
  <c r="J145" i="44"/>
  <c r="L310" i="44" l="1"/>
  <c r="K306" i="44"/>
  <c r="K309" i="44"/>
  <c r="J307" i="44"/>
  <c r="J308" i="44"/>
  <c r="J304" i="44"/>
  <c r="J305" i="44"/>
  <c r="K169" i="44"/>
  <c r="K161" i="44"/>
  <c r="L171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L163" i="44"/>
  <c r="L170" i="44"/>
  <c r="L162" i="44"/>
  <c r="K160" i="44"/>
  <c r="K158" i="44"/>
  <c r="K168" i="44"/>
  <c r="J144" i="44"/>
  <c r="G91" i="59"/>
  <c r="H91" i="59"/>
  <c r="G485" i="59"/>
  <c r="H485" i="59"/>
  <c r="A180" i="60"/>
  <c r="E484" i="59"/>
  <c r="A487" i="59"/>
  <c r="A93" i="59"/>
  <c r="E90" i="59"/>
  <c r="I145" i="44"/>
  <c r="J306" i="44" l="1"/>
  <c r="J309" i="44"/>
  <c r="K310" i="44"/>
  <c r="I304" i="44"/>
  <c r="I305" i="44"/>
  <c r="I308" i="44"/>
  <c r="I307" i="44"/>
  <c r="J169" i="44"/>
  <c r="J161" i="44"/>
  <c r="K171" i="44"/>
  <c r="I146" i="44"/>
  <c r="I147" i="44"/>
  <c r="I148" i="44"/>
  <c r="I149" i="44"/>
  <c r="I150" i="44"/>
  <c r="I151" i="44"/>
  <c r="I152" i="44"/>
  <c r="I153" i="44"/>
  <c r="I154" i="44"/>
  <c r="I155" i="44"/>
  <c r="I156" i="44"/>
  <c r="I157" i="44"/>
  <c r="K170" i="44"/>
  <c r="K163" i="44"/>
  <c r="J158" i="44"/>
  <c r="J168" i="44"/>
  <c r="J160" i="44"/>
  <c r="I144" i="44"/>
  <c r="K162" i="44"/>
  <c r="G92" i="59"/>
  <c r="H92" i="59"/>
  <c r="G486" i="59"/>
  <c r="H486" i="59"/>
  <c r="A181" i="60"/>
  <c r="E485" i="59"/>
  <c r="A488" i="59"/>
  <c r="A94" i="59"/>
  <c r="E91" i="59"/>
  <c r="H145" i="44"/>
  <c r="J310" i="44" l="1"/>
  <c r="I306" i="44"/>
  <c r="H304" i="44"/>
  <c r="H305" i="44"/>
  <c r="H307" i="44"/>
  <c r="H308" i="44"/>
  <c r="I309" i="44"/>
  <c r="J171" i="44"/>
  <c r="I161" i="44"/>
  <c r="I169" i="44"/>
  <c r="H146" i="44"/>
  <c r="H147" i="44"/>
  <c r="H148" i="44"/>
  <c r="H149" i="44"/>
  <c r="H150" i="44"/>
  <c r="H151" i="44"/>
  <c r="H152" i="44"/>
  <c r="H153" i="44"/>
  <c r="H154" i="44"/>
  <c r="H155" i="44"/>
  <c r="H156" i="44"/>
  <c r="H157" i="44"/>
  <c r="J162" i="44"/>
  <c r="J170" i="44"/>
  <c r="J163" i="44"/>
  <c r="I158" i="44"/>
  <c r="I168" i="44"/>
  <c r="I160" i="44"/>
  <c r="H144" i="44"/>
  <c r="G93" i="59"/>
  <c r="H93" i="59"/>
  <c r="G487" i="59"/>
  <c r="H487" i="59"/>
  <c r="A182" i="60"/>
  <c r="E92" i="59"/>
  <c r="E486" i="59"/>
  <c r="A489" i="59"/>
  <c r="A95" i="59"/>
  <c r="G145" i="44"/>
  <c r="I310" i="44" l="1"/>
  <c r="H309" i="44"/>
  <c r="H306" i="44"/>
  <c r="G304" i="44"/>
  <c r="G305" i="44"/>
  <c r="G307" i="44"/>
  <c r="G308" i="44"/>
  <c r="H169" i="44"/>
  <c r="I171" i="44"/>
  <c r="H161" i="44"/>
  <c r="G148" i="44"/>
  <c r="G152" i="44"/>
  <c r="G156" i="44"/>
  <c r="G149" i="44"/>
  <c r="G153" i="44"/>
  <c r="G157" i="44"/>
  <c r="G150" i="44"/>
  <c r="G147" i="44"/>
  <c r="G155" i="44"/>
  <c r="G146" i="44"/>
  <c r="G154" i="44"/>
  <c r="G151" i="44"/>
  <c r="H158" i="44"/>
  <c r="H168" i="44"/>
  <c r="I162" i="44"/>
  <c r="H160" i="44"/>
  <c r="I170" i="44"/>
  <c r="G144" i="44"/>
  <c r="I163" i="44"/>
  <c r="G94" i="59"/>
  <c r="H94" i="59"/>
  <c r="G488" i="59"/>
  <c r="H488" i="59"/>
  <c r="A183" i="60"/>
  <c r="E487" i="59"/>
  <c r="A490" i="59"/>
  <c r="E93" i="59"/>
  <c r="A96" i="59"/>
  <c r="F145" i="44"/>
  <c r="G309" i="44" l="1"/>
  <c r="G306" i="44"/>
  <c r="H310" i="44"/>
  <c r="H171" i="44"/>
  <c r="F304" i="44"/>
  <c r="F305" i="44"/>
  <c r="F307" i="44"/>
  <c r="F308" i="44"/>
  <c r="G161" i="44"/>
  <c r="G169" i="44"/>
  <c r="F148" i="44"/>
  <c r="F152" i="44"/>
  <c r="F156" i="44"/>
  <c r="F149" i="44"/>
  <c r="F153" i="44"/>
  <c r="F157" i="44"/>
  <c r="F146" i="44"/>
  <c r="F154" i="44"/>
  <c r="F147" i="44"/>
  <c r="F150" i="44"/>
  <c r="F151" i="44"/>
  <c r="F155" i="44"/>
  <c r="H162" i="44"/>
  <c r="H170" i="44"/>
  <c r="G168" i="44"/>
  <c r="G160" i="44"/>
  <c r="G158" i="44"/>
  <c r="F144" i="44"/>
  <c r="H163" i="44"/>
  <c r="G95" i="59"/>
  <c r="H95" i="59"/>
  <c r="H489" i="59"/>
  <c r="G489" i="59"/>
  <c r="A184" i="60"/>
  <c r="E94" i="59"/>
  <c r="E488" i="59"/>
  <c r="A491" i="59"/>
  <c r="A97" i="59"/>
  <c r="E145" i="44"/>
  <c r="G310" i="44" l="1"/>
  <c r="F309" i="44"/>
  <c r="F306" i="44"/>
  <c r="E305" i="44"/>
  <c r="E307" i="44"/>
  <c r="E308" i="44"/>
  <c r="E304" i="44"/>
  <c r="F161" i="44"/>
  <c r="G171" i="44"/>
  <c r="F169" i="44"/>
  <c r="E149" i="44"/>
  <c r="E153" i="44"/>
  <c r="E157" i="44"/>
  <c r="E150" i="44"/>
  <c r="E154" i="44"/>
  <c r="E151" i="44"/>
  <c r="E156" i="44"/>
  <c r="E147" i="44"/>
  <c r="E155" i="44"/>
  <c r="E146" i="44"/>
  <c r="E148" i="44"/>
  <c r="E152" i="44"/>
  <c r="G163" i="44"/>
  <c r="F158" i="44"/>
  <c r="F168" i="44"/>
  <c r="F160" i="44"/>
  <c r="E144" i="44"/>
  <c r="G162" i="44"/>
  <c r="G170" i="44"/>
  <c r="G96" i="59"/>
  <c r="H96" i="59"/>
  <c r="G490" i="59"/>
  <c r="H490" i="59"/>
  <c r="A185" i="60"/>
  <c r="E489" i="59"/>
  <c r="A492" i="59"/>
  <c r="E95" i="59"/>
  <c r="A98" i="59"/>
  <c r="D145" i="44"/>
  <c r="F310" i="44" l="1"/>
  <c r="E306" i="44"/>
  <c r="E309" i="44"/>
  <c r="D307" i="44"/>
  <c r="D308" i="44"/>
  <c r="D304" i="44"/>
  <c r="D305" i="44"/>
  <c r="F171" i="44"/>
  <c r="E161" i="44"/>
  <c r="E169" i="44"/>
  <c r="D146" i="44"/>
  <c r="D148" i="44"/>
  <c r="D150" i="44"/>
  <c r="D152" i="44"/>
  <c r="D154" i="44"/>
  <c r="D156" i="44"/>
  <c r="D147" i="44"/>
  <c r="D149" i="44"/>
  <c r="D151" i="44"/>
  <c r="D153" i="44"/>
  <c r="D155" i="44"/>
  <c r="D157" i="44"/>
  <c r="F163" i="44"/>
  <c r="F162" i="44"/>
  <c r="F170" i="44"/>
  <c r="D144" i="44"/>
  <c r="E158" i="44"/>
  <c r="E168" i="44"/>
  <c r="E160" i="44"/>
  <c r="G97" i="59"/>
  <c r="H97" i="59"/>
  <c r="G491" i="59"/>
  <c r="H491" i="59"/>
  <c r="A186" i="60"/>
  <c r="E96" i="59"/>
  <c r="E490" i="59"/>
  <c r="A493" i="59"/>
  <c r="A99" i="59"/>
  <c r="C145" i="44"/>
  <c r="E310" i="44" l="1"/>
  <c r="D306" i="44"/>
  <c r="D309" i="44"/>
  <c r="C307" i="44"/>
  <c r="C308" i="44"/>
  <c r="C304" i="44"/>
  <c r="C305" i="44"/>
  <c r="D161" i="44"/>
  <c r="D169" i="44"/>
  <c r="E171" i="44"/>
  <c r="C146" i="44"/>
  <c r="C148" i="44"/>
  <c r="C150" i="44"/>
  <c r="C152" i="44"/>
  <c r="C154" i="44"/>
  <c r="C156" i="44"/>
  <c r="C147" i="44"/>
  <c r="C149" i="44"/>
  <c r="C151" i="44"/>
  <c r="C153" i="44"/>
  <c r="C155" i="44"/>
  <c r="C157" i="44"/>
  <c r="B145" i="44"/>
  <c r="E170" i="44"/>
  <c r="E163" i="44"/>
  <c r="D168" i="44"/>
  <c r="D158" i="44"/>
  <c r="D160" i="44"/>
  <c r="C144" i="44"/>
  <c r="E162" i="44"/>
  <c r="G98" i="59"/>
  <c r="H98" i="59"/>
  <c r="G492" i="59"/>
  <c r="H492" i="59"/>
  <c r="A187" i="60"/>
  <c r="E491" i="59"/>
  <c r="A494" i="59"/>
  <c r="E97" i="59"/>
  <c r="A100" i="59"/>
  <c r="B148" i="44" l="1"/>
  <c r="B147" i="44"/>
  <c r="B146" i="44"/>
  <c r="D310" i="44"/>
  <c r="C306" i="44"/>
  <c r="C309" i="44"/>
  <c r="B308" i="44"/>
  <c r="O308" i="44" s="1"/>
  <c r="B307" i="44"/>
  <c r="O307" i="44" s="1"/>
  <c r="B305" i="44"/>
  <c r="O305" i="44" s="1"/>
  <c r="B304" i="44"/>
  <c r="C161" i="44"/>
  <c r="C169" i="44"/>
  <c r="D171" i="44"/>
  <c r="B152" i="44"/>
  <c r="B151" i="44"/>
  <c r="B150" i="44"/>
  <c r="B149" i="44"/>
  <c r="B157" i="44"/>
  <c r="B156" i="44"/>
  <c r="B153" i="44"/>
  <c r="B155" i="44"/>
  <c r="B154" i="44"/>
  <c r="B144" i="44"/>
  <c r="D162" i="44"/>
  <c r="C160" i="44"/>
  <c r="C158" i="44"/>
  <c r="C168" i="44"/>
  <c r="D170" i="44"/>
  <c r="D163" i="44"/>
  <c r="G99" i="59"/>
  <c r="H99" i="59"/>
  <c r="G493" i="59"/>
  <c r="H493" i="59"/>
  <c r="A188" i="60"/>
  <c r="E98" i="59"/>
  <c r="E492" i="59"/>
  <c r="A495" i="59"/>
  <c r="A101" i="59"/>
  <c r="C310" i="44" l="1"/>
  <c r="C171" i="44"/>
  <c r="B169" i="44"/>
  <c r="B161" i="44"/>
  <c r="B168" i="44"/>
  <c r="B160" i="44"/>
  <c r="O160" i="44" s="1"/>
  <c r="B306" i="44"/>
  <c r="O304" i="44"/>
  <c r="B309" i="44"/>
  <c r="C170" i="44"/>
  <c r="B158" i="44"/>
  <c r="C162" i="44"/>
  <c r="C163" i="44"/>
  <c r="G100" i="59"/>
  <c r="H100" i="59"/>
  <c r="G494" i="59"/>
  <c r="H494" i="59"/>
  <c r="A189" i="60"/>
  <c r="E493" i="59"/>
  <c r="A496" i="59"/>
  <c r="E99" i="59"/>
  <c r="A102" i="59"/>
  <c r="O306" i="44" l="1"/>
  <c r="B310" i="44"/>
  <c r="O310" i="44" s="1"/>
  <c r="B162" i="44"/>
  <c r="O162" i="44" s="1"/>
  <c r="B170" i="44"/>
  <c r="B163" i="44"/>
  <c r="B171" i="44"/>
  <c r="O309" i="44"/>
  <c r="G101" i="59"/>
  <c r="H101" i="59"/>
  <c r="G495" i="59"/>
  <c r="H495" i="59"/>
  <c r="A190" i="60"/>
  <c r="E494" i="59"/>
  <c r="A497" i="59"/>
  <c r="E100" i="59"/>
  <c r="A103" i="59"/>
  <c r="H94" i="44"/>
  <c r="G95" i="44"/>
  <c r="A95" i="44"/>
  <c r="E95" i="44" s="1"/>
  <c r="H15" i="6"/>
  <c r="E3" i="40"/>
  <c r="E3" i="71" l="1"/>
  <c r="G3" i="72"/>
  <c r="E3" i="66"/>
  <c r="G3" i="68"/>
  <c r="C54" i="44"/>
  <c r="G102" i="59"/>
  <c r="H102" i="59"/>
  <c r="G496" i="59"/>
  <c r="H496" i="59"/>
  <c r="D3" i="65"/>
  <c r="I3" i="62"/>
  <c r="E3" i="63"/>
  <c r="E3" i="61"/>
  <c r="A191" i="60"/>
  <c r="E101" i="59"/>
  <c r="E495" i="59"/>
  <c r="A498" i="59"/>
  <c r="A104" i="59"/>
  <c r="E3" i="58"/>
  <c r="H22" i="6"/>
  <c r="J15" i="6"/>
  <c r="J22" i="6"/>
  <c r="D3" i="51"/>
  <c r="E3" i="29"/>
  <c r="K3" i="6"/>
  <c r="F7" i="6" s="1"/>
  <c r="G8" i="6" s="1"/>
  <c r="E3" i="13"/>
  <c r="I3" i="15"/>
  <c r="E3" i="23"/>
  <c r="E3" i="30"/>
  <c r="G3" i="11"/>
  <c r="E3" i="31"/>
  <c r="E3" i="10"/>
  <c r="E3" i="14"/>
  <c r="G103" i="59" l="1"/>
  <c r="H103" i="59"/>
  <c r="G497" i="59"/>
  <c r="H497" i="59"/>
  <c r="A192" i="60"/>
  <c r="E496" i="59"/>
  <c r="A499" i="59"/>
  <c r="A105" i="59"/>
  <c r="E102" i="59"/>
  <c r="C56" i="44"/>
  <c r="C55" i="44"/>
  <c r="C57" i="44"/>
  <c r="C62" i="44"/>
  <c r="C51" i="44"/>
  <c r="C61" i="44"/>
  <c r="C60" i="44"/>
  <c r="C53" i="44"/>
  <c r="C59" i="44"/>
  <c r="C52" i="44"/>
  <c r="C58" i="44"/>
  <c r="F52" i="44" l="1"/>
  <c r="F51" i="44"/>
  <c r="G104" i="59"/>
  <c r="H104" i="59"/>
  <c r="G498" i="59"/>
  <c r="H498" i="59"/>
  <c r="A193" i="60"/>
  <c r="E103" i="59"/>
  <c r="E497" i="59"/>
  <c r="A500" i="59"/>
  <c r="A106" i="59"/>
  <c r="G105" i="59" l="1"/>
  <c r="G499" i="59"/>
  <c r="H499" i="59"/>
  <c r="A194" i="60"/>
  <c r="E498" i="59"/>
  <c r="A501" i="59"/>
  <c r="E104" i="59"/>
  <c r="A107" i="59"/>
  <c r="H105" i="59"/>
  <c r="C47" i="44"/>
  <c r="C63" i="44"/>
  <c r="G106" i="59" l="1"/>
  <c r="G500" i="59"/>
  <c r="H500" i="59"/>
  <c r="A195" i="60"/>
  <c r="A502" i="59"/>
  <c r="E499" i="59"/>
  <c r="E105" i="59"/>
  <c r="A108" i="59"/>
  <c r="H106" i="59"/>
  <c r="C20" i="6"/>
  <c r="G107" i="59" l="1"/>
  <c r="G501" i="59"/>
  <c r="A196" i="60"/>
  <c r="E106" i="59"/>
  <c r="A503" i="59"/>
  <c r="H501" i="59"/>
  <c r="E500" i="59"/>
  <c r="H107" i="59"/>
  <c r="A109" i="59"/>
  <c r="K8" i="6"/>
  <c r="I8" i="6"/>
  <c r="G108" i="59" l="1"/>
  <c r="G502" i="59"/>
  <c r="A197" i="60"/>
  <c r="H502" i="59"/>
  <c r="A504" i="59"/>
  <c r="E501" i="59"/>
  <c r="E107" i="59"/>
  <c r="H108" i="59"/>
  <c r="A110" i="59"/>
  <c r="E24" i="40"/>
  <c r="E17" i="40"/>
  <c r="E15" i="40"/>
  <c r="E14" i="40"/>
  <c r="E13" i="40"/>
  <c r="E12" i="40"/>
  <c r="E11" i="40"/>
  <c r="E10" i="40"/>
  <c r="E9" i="40"/>
  <c r="G109" i="59" l="1"/>
  <c r="H109" i="59"/>
  <c r="G503" i="59"/>
  <c r="A198" i="60"/>
  <c r="E108" i="59"/>
  <c r="H503" i="59"/>
  <c r="E502" i="59"/>
  <c r="A505" i="59"/>
  <c r="A111" i="59"/>
  <c r="G110" i="59" l="1"/>
  <c r="H110" i="59"/>
  <c r="G504" i="59"/>
  <c r="A199" i="60"/>
  <c r="E503" i="59"/>
  <c r="H504" i="59"/>
  <c r="A506" i="59"/>
  <c r="A112" i="59"/>
  <c r="E109" i="59"/>
  <c r="G111" i="59" l="1"/>
  <c r="H111" i="59"/>
  <c r="G505" i="59"/>
  <c r="A200" i="60"/>
  <c r="E504" i="59"/>
  <c r="E110" i="59"/>
  <c r="A507" i="59"/>
  <c r="H505" i="59"/>
  <c r="A113" i="59"/>
  <c r="G112" i="59" l="1"/>
  <c r="H112" i="59"/>
  <c r="G506" i="59"/>
  <c r="H506" i="59"/>
  <c r="A201" i="60"/>
  <c r="E111" i="59"/>
  <c r="E505" i="59"/>
  <c r="A508" i="59"/>
  <c r="A114" i="59"/>
  <c r="G113" i="59" l="1"/>
  <c r="H113" i="59"/>
  <c r="G507" i="59"/>
  <c r="H507" i="59"/>
  <c r="A202" i="60"/>
  <c r="E112" i="59"/>
  <c r="A509" i="59"/>
  <c r="E506" i="59"/>
  <c r="A115" i="59"/>
  <c r="G114" i="59" l="1"/>
  <c r="H114" i="59"/>
  <c r="G508" i="59"/>
  <c r="H508" i="59"/>
  <c r="A203" i="60"/>
  <c r="E113" i="59"/>
  <c r="E507" i="59"/>
  <c r="A510" i="59"/>
  <c r="A116" i="59"/>
  <c r="G115" i="59" l="1"/>
  <c r="H115" i="59"/>
  <c r="G509" i="59"/>
  <c r="H509" i="59"/>
  <c r="A204" i="60"/>
  <c r="E114" i="59"/>
  <c r="E508" i="59"/>
  <c r="A511" i="59"/>
  <c r="A117" i="59"/>
  <c r="G116" i="59" l="1"/>
  <c r="H116" i="59"/>
  <c r="G510" i="59"/>
  <c r="H510" i="59"/>
  <c r="A205" i="60"/>
  <c r="A512" i="59"/>
  <c r="E509" i="59"/>
  <c r="A118" i="59"/>
  <c r="E115" i="59"/>
  <c r="G117" i="59" l="1"/>
  <c r="H117" i="59"/>
  <c r="G511" i="59"/>
  <c r="H511" i="59"/>
  <c r="A206" i="60"/>
  <c r="A513" i="59"/>
  <c r="E510" i="59"/>
  <c r="A119" i="59"/>
  <c r="E116" i="59"/>
  <c r="G118" i="59" l="1"/>
  <c r="H118" i="59"/>
  <c r="G512" i="59"/>
  <c r="H512" i="59"/>
  <c r="A207" i="60"/>
  <c r="A514" i="59"/>
  <c r="E511" i="59"/>
  <c r="A120" i="59"/>
  <c r="E117" i="59"/>
  <c r="G119" i="59" l="1"/>
  <c r="H119" i="59"/>
  <c r="H513" i="59"/>
  <c r="G513" i="59"/>
  <c r="A208" i="60"/>
  <c r="E512" i="59"/>
  <c r="A515" i="59"/>
  <c r="A121" i="59"/>
  <c r="E118" i="59"/>
  <c r="G120" i="59" l="1"/>
  <c r="H120" i="59"/>
  <c r="G514" i="59"/>
  <c r="H514" i="59"/>
  <c r="A209" i="60"/>
  <c r="E513" i="59"/>
  <c r="A516" i="59"/>
  <c r="A122" i="59"/>
  <c r="E119" i="59"/>
  <c r="G121" i="59" l="1"/>
  <c r="H121" i="59"/>
  <c r="G515" i="59"/>
  <c r="H515" i="59"/>
  <c r="A210" i="60"/>
  <c r="E514" i="59"/>
  <c r="A517" i="59"/>
  <c r="E120" i="59"/>
  <c r="A123" i="59"/>
  <c r="G122" i="59" l="1"/>
  <c r="H122" i="59"/>
  <c r="G516" i="59"/>
  <c r="H516" i="59"/>
  <c r="A211" i="60"/>
  <c r="E515" i="59"/>
  <c r="A518" i="59"/>
  <c r="A124" i="59"/>
  <c r="E121" i="59"/>
  <c r="G123" i="59" l="1"/>
  <c r="H123" i="59"/>
  <c r="G517" i="59"/>
  <c r="H517" i="59"/>
  <c r="A212" i="60"/>
  <c r="E516" i="59"/>
  <c r="E122" i="59"/>
  <c r="A519" i="59"/>
  <c r="A125" i="59"/>
  <c r="G124" i="59" l="1"/>
  <c r="H124" i="59"/>
  <c r="G518" i="59"/>
  <c r="H518" i="59"/>
  <c r="A213" i="60"/>
  <c r="E517" i="59"/>
  <c r="A520" i="59"/>
  <c r="E123" i="59"/>
  <c r="A126" i="59"/>
  <c r="G125" i="59" l="1"/>
  <c r="H125" i="59"/>
  <c r="G519" i="59"/>
  <c r="H519" i="59"/>
  <c r="A214" i="60"/>
  <c r="E518" i="59"/>
  <c r="A521" i="59"/>
  <c r="E124" i="59"/>
  <c r="A127" i="59"/>
  <c r="G126" i="59" l="1"/>
  <c r="H126" i="59"/>
  <c r="G520" i="59"/>
  <c r="H520" i="59"/>
  <c r="A215" i="60"/>
  <c r="E519" i="59"/>
  <c r="A522" i="59"/>
  <c r="A128" i="59"/>
  <c r="E125" i="59"/>
  <c r="G127" i="59" l="1"/>
  <c r="H127" i="59"/>
  <c r="H521" i="59"/>
  <c r="G521" i="59"/>
  <c r="A216" i="60"/>
  <c r="E520" i="59"/>
  <c r="A523" i="59"/>
  <c r="E126" i="59"/>
  <c r="A129" i="59"/>
  <c r="G128" i="59" l="1"/>
  <c r="H128" i="59"/>
  <c r="G522" i="59"/>
  <c r="H522" i="59"/>
  <c r="A217" i="60"/>
  <c r="E127" i="59"/>
  <c r="E521" i="59"/>
  <c r="A524" i="59"/>
  <c r="A130" i="59"/>
  <c r="G129" i="59" l="1"/>
  <c r="H129" i="59"/>
  <c r="G523" i="59"/>
  <c r="H523" i="59"/>
  <c r="A218" i="60"/>
  <c r="E522" i="59"/>
  <c r="A525" i="59"/>
  <c r="E128" i="59"/>
  <c r="A131" i="59"/>
  <c r="G130" i="59" l="1"/>
  <c r="H130" i="59"/>
  <c r="G524" i="59"/>
  <c r="H524" i="59"/>
  <c r="A219" i="60"/>
  <c r="E129" i="59"/>
  <c r="A526" i="59"/>
  <c r="E523" i="59"/>
  <c r="A132" i="59"/>
  <c r="G131" i="59" l="1"/>
  <c r="H131" i="59"/>
  <c r="G525" i="59"/>
  <c r="H525" i="59"/>
  <c r="A220" i="60"/>
  <c r="E524" i="59"/>
  <c r="A527" i="59"/>
  <c r="E130" i="59"/>
  <c r="A133" i="59"/>
  <c r="G132" i="59" l="1"/>
  <c r="H132" i="59"/>
  <c r="G526" i="59"/>
  <c r="H526" i="59"/>
  <c r="A221" i="60"/>
  <c r="E525" i="59"/>
  <c r="E131" i="59"/>
  <c r="A528" i="59"/>
  <c r="A134" i="59"/>
  <c r="G133" i="59" l="1"/>
  <c r="H133" i="59"/>
  <c r="G527" i="59"/>
  <c r="H527" i="59"/>
  <c r="A222" i="60"/>
  <c r="E526" i="59"/>
  <c r="A529" i="59"/>
  <c r="E132" i="59"/>
  <c r="A135" i="59"/>
  <c r="G134" i="59" l="1"/>
  <c r="H134" i="59"/>
  <c r="G528" i="59"/>
  <c r="H528" i="59"/>
  <c r="A223" i="60"/>
  <c r="E527" i="59"/>
  <c r="A530" i="59"/>
  <c r="E133" i="59"/>
  <c r="A136" i="59"/>
  <c r="G135" i="59" l="1"/>
  <c r="H135" i="59"/>
  <c r="G529" i="59"/>
  <c r="H529" i="59"/>
  <c r="A224" i="60"/>
  <c r="E528" i="59"/>
  <c r="A531" i="59"/>
  <c r="E134" i="59"/>
  <c r="A137" i="59"/>
  <c r="G136" i="59" l="1"/>
  <c r="G530" i="59"/>
  <c r="H530" i="59"/>
  <c r="A225" i="60"/>
  <c r="E529" i="59"/>
  <c r="E135" i="59"/>
  <c r="A532" i="59"/>
  <c r="A138" i="59"/>
  <c r="H136" i="59"/>
  <c r="G137" i="59" l="1"/>
  <c r="G531" i="59"/>
  <c r="A226" i="60"/>
  <c r="E136" i="59"/>
  <c r="A533" i="59"/>
  <c r="H531" i="59"/>
  <c r="E530" i="59"/>
  <c r="H137" i="59"/>
  <c r="A139" i="59"/>
  <c r="G138" i="59" l="1"/>
  <c r="G532" i="59"/>
  <c r="G533" i="59"/>
  <c r="A227" i="60"/>
  <c r="E531" i="59"/>
  <c r="E137" i="59"/>
  <c r="H533" i="59"/>
  <c r="H532" i="59"/>
  <c r="A140" i="59"/>
  <c r="H138" i="59"/>
  <c r="G139" i="59" l="1"/>
  <c r="A228" i="60"/>
  <c r="E532" i="59"/>
  <c r="E533" i="59"/>
  <c r="A141" i="59"/>
  <c r="H139" i="59"/>
  <c r="E138" i="59"/>
  <c r="G140" i="59" l="1"/>
  <c r="H140" i="59"/>
  <c r="A229" i="60"/>
  <c r="A142" i="59"/>
  <c r="E139" i="59"/>
  <c r="G141" i="59" l="1"/>
  <c r="H141" i="59"/>
  <c r="A230" i="60"/>
  <c r="E140" i="59"/>
  <c r="A143" i="59"/>
  <c r="G142" i="59" l="1"/>
  <c r="H142" i="59"/>
  <c r="A231" i="60"/>
  <c r="A144" i="59"/>
  <c r="E141" i="59"/>
  <c r="G143" i="59" l="1"/>
  <c r="H143" i="59"/>
  <c r="A232" i="60"/>
  <c r="E142" i="59"/>
  <c r="A145" i="59"/>
  <c r="G144" i="59" l="1"/>
  <c r="H144" i="59"/>
  <c r="A233" i="60"/>
  <c r="E143" i="59"/>
  <c r="A146" i="59"/>
  <c r="G145" i="59" l="1"/>
  <c r="H145" i="59"/>
  <c r="A234" i="60"/>
  <c r="E144" i="59"/>
  <c r="A147" i="59"/>
  <c r="G146" i="59" l="1"/>
  <c r="H146" i="59"/>
  <c r="A235" i="60"/>
  <c r="E145" i="59"/>
  <c r="A148" i="59"/>
  <c r="G147" i="59" l="1"/>
  <c r="H147" i="59"/>
  <c r="A236" i="60"/>
  <c r="E146" i="59"/>
  <c r="A149" i="59"/>
  <c r="G148" i="59" l="1"/>
  <c r="H148" i="59"/>
  <c r="A237" i="60"/>
  <c r="A150" i="59"/>
  <c r="E147" i="59"/>
  <c r="G149" i="59" l="1"/>
  <c r="H149" i="59"/>
  <c r="A238" i="60"/>
  <c r="E148" i="59"/>
  <c r="A151" i="59"/>
  <c r="G150" i="59" l="1"/>
  <c r="H150" i="59"/>
  <c r="A239" i="60"/>
  <c r="E149" i="59"/>
  <c r="A152" i="59"/>
  <c r="G151" i="59" l="1"/>
  <c r="H151" i="59"/>
  <c r="A240" i="60"/>
  <c r="E150" i="59"/>
  <c r="A153" i="59"/>
  <c r="G152" i="59" l="1"/>
  <c r="H152" i="59"/>
  <c r="A241" i="60"/>
  <c r="E151" i="59"/>
  <c r="A154" i="59"/>
  <c r="G153" i="59" l="1"/>
  <c r="H153" i="59"/>
  <c r="A242" i="60"/>
  <c r="E152" i="59"/>
  <c r="A155" i="59"/>
  <c r="G154" i="59" l="1"/>
  <c r="H154" i="59"/>
  <c r="A243" i="60"/>
  <c r="E153" i="59"/>
  <c r="A156" i="59"/>
  <c r="G155" i="59" l="1"/>
  <c r="H155" i="59"/>
  <c r="A244" i="60"/>
  <c r="E154" i="59"/>
  <c r="A157" i="59"/>
  <c r="G156" i="59" l="1"/>
  <c r="H156" i="59"/>
  <c r="A245" i="60"/>
  <c r="E155" i="59"/>
  <c r="A158" i="59"/>
  <c r="G157" i="59" l="1"/>
  <c r="H157" i="59"/>
  <c r="A246" i="60"/>
  <c r="E156" i="59"/>
  <c r="A159" i="59"/>
  <c r="G158" i="59" l="1"/>
  <c r="H158" i="59"/>
  <c r="A247" i="60"/>
  <c r="E157" i="59"/>
  <c r="A160" i="59"/>
  <c r="G159" i="59" l="1"/>
  <c r="H159" i="59"/>
  <c r="A248" i="60"/>
  <c r="E158" i="59"/>
  <c r="A161" i="59"/>
  <c r="G160" i="59" l="1"/>
  <c r="H160" i="59"/>
  <c r="A249" i="60"/>
  <c r="E159" i="59"/>
  <c r="A162" i="59"/>
  <c r="G161" i="59" l="1"/>
  <c r="H161" i="59"/>
  <c r="A250" i="60"/>
  <c r="E160" i="59"/>
  <c r="A163" i="59"/>
  <c r="G162" i="59" l="1"/>
  <c r="H162" i="59"/>
  <c r="A251" i="60"/>
  <c r="E161" i="59"/>
  <c r="A164" i="59"/>
  <c r="G163" i="59" l="1"/>
  <c r="H163" i="59"/>
  <c r="A252" i="60"/>
  <c r="A165" i="59"/>
  <c r="E162" i="59"/>
  <c r="G164" i="59" l="1"/>
  <c r="H164" i="59"/>
  <c r="A253" i="60"/>
  <c r="E163" i="59"/>
  <c r="A166" i="59"/>
  <c r="G165" i="59" l="1"/>
  <c r="H165" i="59"/>
  <c r="A254" i="60"/>
  <c r="E164" i="59"/>
  <c r="A167" i="59"/>
  <c r="G166" i="59" l="1"/>
  <c r="A255" i="60"/>
  <c r="E165" i="59"/>
  <c r="H166" i="59"/>
  <c r="A168" i="59"/>
  <c r="G167" i="59" l="1"/>
  <c r="A256" i="60"/>
  <c r="E166" i="59"/>
  <c r="H167" i="59"/>
  <c r="A169" i="59"/>
  <c r="G168" i="59" l="1"/>
  <c r="A257" i="60"/>
  <c r="E167" i="59"/>
  <c r="A170" i="59"/>
  <c r="H168" i="59"/>
  <c r="G169" i="59" l="1"/>
  <c r="A258" i="60"/>
  <c r="H169" i="59"/>
  <c r="E168" i="59"/>
  <c r="A171" i="59"/>
  <c r="G170" i="59" l="1"/>
  <c r="H170" i="59"/>
  <c r="A259" i="60"/>
  <c r="E169" i="59"/>
  <c r="A172" i="59"/>
  <c r="G171" i="59" l="1"/>
  <c r="H171" i="59"/>
  <c r="A260" i="60"/>
  <c r="E170" i="59"/>
  <c r="A173" i="59"/>
  <c r="G172" i="59" l="1"/>
  <c r="H172" i="59"/>
  <c r="A261" i="60"/>
  <c r="E171" i="59"/>
  <c r="A174" i="59"/>
  <c r="G173" i="59" l="1"/>
  <c r="H173" i="59"/>
  <c r="A262" i="60"/>
  <c r="A175" i="59"/>
  <c r="E172" i="59"/>
  <c r="G174" i="59" l="1"/>
  <c r="H174" i="59"/>
  <c r="A263" i="60"/>
  <c r="E173" i="59"/>
  <c r="A176" i="59"/>
  <c r="G175" i="59" l="1"/>
  <c r="H175" i="59"/>
  <c r="A264" i="60"/>
  <c r="E174" i="59"/>
  <c r="A177" i="59"/>
  <c r="G176" i="59" l="1"/>
  <c r="H176" i="59"/>
  <c r="A265" i="60"/>
  <c r="E175" i="59"/>
  <c r="A178" i="59"/>
  <c r="G177" i="59" l="1"/>
  <c r="H177" i="59"/>
  <c r="A266" i="60"/>
  <c r="E176" i="59"/>
  <c r="A179" i="59"/>
  <c r="G178" i="59" l="1"/>
  <c r="H178" i="59"/>
  <c r="A267" i="60"/>
  <c r="E177" i="59"/>
  <c r="A180" i="59"/>
  <c r="G179" i="59" l="1"/>
  <c r="H179" i="59"/>
  <c r="A268" i="60"/>
  <c r="E178" i="59"/>
  <c r="A181" i="59"/>
  <c r="G180" i="59" l="1"/>
  <c r="H180" i="59"/>
  <c r="A269" i="60"/>
  <c r="E179" i="59"/>
  <c r="A182" i="59"/>
  <c r="G181" i="59" l="1"/>
  <c r="H181" i="59"/>
  <c r="A270" i="60"/>
  <c r="A183" i="59"/>
  <c r="E180" i="59"/>
  <c r="G182" i="59" l="1"/>
  <c r="H182" i="59"/>
  <c r="A271" i="60"/>
  <c r="E181" i="59"/>
  <c r="A184" i="59"/>
  <c r="G183" i="59" l="1"/>
  <c r="H183" i="59"/>
  <c r="A272" i="60"/>
  <c r="E182" i="59"/>
  <c r="A185" i="59"/>
  <c r="G184" i="59" l="1"/>
  <c r="H184" i="59"/>
  <c r="A273" i="60"/>
  <c r="E183" i="59"/>
  <c r="A186" i="59"/>
  <c r="G185" i="59" l="1"/>
  <c r="H185" i="59"/>
  <c r="A274" i="60"/>
  <c r="E184" i="59"/>
  <c r="A187" i="59"/>
  <c r="G186" i="59" l="1"/>
  <c r="H186" i="59"/>
  <c r="A275" i="60"/>
  <c r="E185" i="59"/>
  <c r="A188" i="59"/>
  <c r="G187" i="59" l="1"/>
  <c r="H187" i="59"/>
  <c r="A276" i="60"/>
  <c r="E186" i="59"/>
  <c r="A189" i="59"/>
  <c r="G188" i="59" l="1"/>
  <c r="H188" i="59"/>
  <c r="A277" i="60"/>
  <c r="A190" i="59"/>
  <c r="E187" i="59"/>
  <c r="G189" i="59" l="1"/>
  <c r="H189" i="59"/>
  <c r="A278" i="60"/>
  <c r="E188" i="59"/>
  <c r="A191" i="59"/>
  <c r="G190" i="59" l="1"/>
  <c r="H190" i="59"/>
  <c r="A279" i="60"/>
  <c r="E189" i="59"/>
  <c r="A192" i="59"/>
  <c r="G191" i="59" l="1"/>
  <c r="H191" i="59"/>
  <c r="A280" i="60"/>
  <c r="A193" i="59"/>
  <c r="E190" i="59"/>
  <c r="G192" i="59" l="1"/>
  <c r="H192" i="59"/>
  <c r="A281" i="60"/>
  <c r="E191" i="59"/>
  <c r="A194" i="59"/>
  <c r="G193" i="59" l="1"/>
  <c r="H193" i="59"/>
  <c r="A282" i="60"/>
  <c r="E192" i="59"/>
  <c r="A195" i="59"/>
  <c r="G194" i="59" l="1"/>
  <c r="H194" i="59"/>
  <c r="A283" i="60"/>
  <c r="E193" i="59"/>
  <c r="A196" i="59"/>
  <c r="G195" i="59" l="1"/>
  <c r="H195" i="59"/>
  <c r="A284" i="60"/>
  <c r="E194" i="59"/>
  <c r="A197" i="59"/>
  <c r="G196" i="59" l="1"/>
  <c r="H196" i="59"/>
  <c r="A285" i="60"/>
  <c r="E195" i="59"/>
  <c r="A198" i="59"/>
  <c r="G197" i="59" l="1"/>
  <c r="A286" i="60"/>
  <c r="E196" i="59"/>
  <c r="H197" i="59"/>
  <c r="A199" i="59"/>
  <c r="G198" i="59" l="1"/>
  <c r="A287" i="60"/>
  <c r="A200" i="59"/>
  <c r="H198" i="59"/>
  <c r="E197" i="59"/>
  <c r="G199" i="59" l="1"/>
  <c r="A288" i="60"/>
  <c r="E198" i="59"/>
  <c r="A201" i="59"/>
  <c r="H199" i="59"/>
  <c r="G200" i="59" l="1"/>
  <c r="A289" i="60"/>
  <c r="E199" i="59"/>
  <c r="A202" i="59"/>
  <c r="H200" i="59"/>
  <c r="G201" i="59" l="1"/>
  <c r="H201" i="59"/>
  <c r="A290" i="60"/>
  <c r="E200" i="59"/>
  <c r="A203" i="59"/>
  <c r="G202" i="59" l="1"/>
  <c r="H202" i="59"/>
  <c r="A291" i="60"/>
  <c r="E201" i="59"/>
  <c r="A204" i="59"/>
  <c r="G203" i="59" l="1"/>
  <c r="H203" i="59"/>
  <c r="A292" i="60"/>
  <c r="E202" i="59"/>
  <c r="A205" i="59"/>
  <c r="G204" i="59" l="1"/>
  <c r="H204" i="59"/>
  <c r="A293" i="60"/>
  <c r="E203" i="59"/>
  <c r="A206" i="59"/>
  <c r="G205" i="59" l="1"/>
  <c r="H205" i="59"/>
  <c r="A294" i="60"/>
  <c r="A207" i="59"/>
  <c r="E204" i="59"/>
  <c r="G206" i="59" l="1"/>
  <c r="H206" i="59"/>
  <c r="A295" i="60"/>
  <c r="E205" i="59"/>
  <c r="A208" i="59"/>
  <c r="G207" i="59" l="1"/>
  <c r="H207" i="59"/>
  <c r="A296" i="60"/>
  <c r="E206" i="59"/>
  <c r="A209" i="59"/>
  <c r="G208" i="59" l="1"/>
  <c r="H208" i="59"/>
  <c r="A297" i="60"/>
  <c r="E207" i="59"/>
  <c r="A210" i="59"/>
  <c r="G209" i="59" l="1"/>
  <c r="H209" i="59"/>
  <c r="A298" i="60"/>
  <c r="E208" i="59"/>
  <c r="A211" i="59"/>
  <c r="G210" i="59" l="1"/>
  <c r="H210" i="59"/>
  <c r="A299" i="60"/>
  <c r="E209" i="59"/>
  <c r="A212" i="59"/>
  <c r="G211" i="59" l="1"/>
  <c r="H211" i="59"/>
  <c r="A300" i="60"/>
  <c r="E210" i="59"/>
  <c r="A213" i="59"/>
  <c r="G212" i="59" l="1"/>
  <c r="H212" i="59"/>
  <c r="A301" i="60"/>
  <c r="A214" i="59"/>
  <c r="E211" i="59"/>
  <c r="G213" i="59" l="1"/>
  <c r="H213" i="59"/>
  <c r="A302" i="60"/>
  <c r="A215" i="59"/>
  <c r="E212" i="59"/>
  <c r="G214" i="59" l="1"/>
  <c r="H214" i="59"/>
  <c r="A303" i="60"/>
  <c r="E213" i="59"/>
  <c r="A216" i="59"/>
  <c r="G215" i="59" l="1"/>
  <c r="H215" i="59"/>
  <c r="A304" i="60"/>
  <c r="F216" i="59"/>
  <c r="A217" i="59"/>
  <c r="E214" i="59"/>
  <c r="G216" i="59" l="1"/>
  <c r="H216" i="59"/>
  <c r="A305" i="60"/>
  <c r="E215" i="59"/>
  <c r="A218" i="59"/>
  <c r="G217" i="59" l="1"/>
  <c r="H217" i="59"/>
  <c r="A306" i="60"/>
  <c r="E216" i="59"/>
  <c r="A219" i="59"/>
  <c r="G218" i="59" l="1"/>
  <c r="H218" i="59"/>
  <c r="A307" i="60"/>
  <c r="E217" i="59"/>
  <c r="A220" i="59"/>
  <c r="G219" i="59" l="1"/>
  <c r="H219" i="59"/>
  <c r="A308" i="60"/>
  <c r="E218" i="59"/>
  <c r="A221" i="59"/>
  <c r="G220" i="59" l="1"/>
  <c r="H220" i="59"/>
  <c r="A309" i="60"/>
  <c r="E219" i="59"/>
  <c r="A222" i="59"/>
  <c r="G221" i="59" l="1"/>
  <c r="H221" i="59"/>
  <c r="A310" i="60"/>
  <c r="E220" i="59"/>
  <c r="A223" i="59"/>
  <c r="G222" i="59" l="1"/>
  <c r="H222" i="59"/>
  <c r="A311" i="60"/>
  <c r="E221" i="59"/>
  <c r="A224" i="59"/>
  <c r="G223" i="59" l="1"/>
  <c r="H223" i="59"/>
  <c r="A312" i="60"/>
  <c r="A225" i="59"/>
  <c r="E222" i="59"/>
  <c r="G224" i="59" l="1"/>
  <c r="H224" i="59"/>
  <c r="A313" i="60"/>
  <c r="A226" i="59"/>
  <c r="E223" i="59"/>
  <c r="G225" i="59" l="1"/>
  <c r="H225" i="59"/>
  <c r="A314" i="60"/>
  <c r="E224" i="59"/>
  <c r="A227" i="59"/>
  <c r="G226" i="59" l="1"/>
  <c r="H226" i="59"/>
  <c r="A315" i="60"/>
  <c r="E225" i="59"/>
  <c r="A228" i="59"/>
  <c r="G227" i="59" l="1"/>
  <c r="H227" i="59"/>
  <c r="A316" i="60"/>
  <c r="E226" i="59"/>
  <c r="A229" i="59"/>
  <c r="G228" i="59" l="1"/>
  <c r="A317" i="60"/>
  <c r="E227" i="59"/>
  <c r="H228" i="59"/>
  <c r="A230" i="59"/>
  <c r="G229" i="59" l="1"/>
  <c r="A318" i="60"/>
  <c r="H229" i="59"/>
  <c r="A231" i="59"/>
  <c r="E228" i="59"/>
  <c r="G230" i="59" l="1"/>
  <c r="A319" i="60"/>
  <c r="E229" i="59"/>
  <c r="H230" i="59"/>
  <c r="A232" i="59"/>
  <c r="G231" i="59" l="1"/>
  <c r="A320" i="60"/>
  <c r="H231" i="59"/>
  <c r="A233" i="59"/>
  <c r="E230" i="59"/>
  <c r="G232" i="59" l="1"/>
  <c r="H232" i="59"/>
  <c r="A321" i="60"/>
  <c r="A234" i="59"/>
  <c r="E231" i="59"/>
  <c r="G233" i="59" l="1"/>
  <c r="H233" i="59"/>
  <c r="A322" i="60"/>
  <c r="E232" i="59"/>
  <c r="A235" i="59"/>
  <c r="G234" i="59" l="1"/>
  <c r="H234" i="59"/>
  <c r="A323" i="60"/>
  <c r="E233" i="59"/>
  <c r="A236" i="59"/>
  <c r="G235" i="59" l="1"/>
  <c r="H235" i="59"/>
  <c r="A324" i="60"/>
  <c r="E234" i="59"/>
  <c r="A237" i="59"/>
  <c r="G236" i="59" l="1"/>
  <c r="H236" i="59"/>
  <c r="A325" i="60"/>
  <c r="E235" i="59"/>
  <c r="A238" i="59"/>
  <c r="G237" i="59" l="1"/>
  <c r="H237" i="59"/>
  <c r="A326" i="60"/>
  <c r="E236" i="59"/>
  <c r="A239" i="59"/>
  <c r="G238" i="59" l="1"/>
  <c r="H238" i="59"/>
  <c r="A327" i="60"/>
  <c r="E237" i="59"/>
  <c r="A240" i="59"/>
  <c r="G239" i="59" l="1"/>
  <c r="H239" i="59"/>
  <c r="A328" i="60"/>
  <c r="A241" i="59"/>
  <c r="E238" i="59"/>
  <c r="G240" i="59" l="1"/>
  <c r="H240" i="59"/>
  <c r="A329" i="60"/>
  <c r="E239" i="59"/>
  <c r="A242" i="59"/>
  <c r="G241" i="59" l="1"/>
  <c r="H241" i="59"/>
  <c r="A330" i="60"/>
  <c r="E240" i="59"/>
  <c r="A243" i="59"/>
  <c r="G242" i="59" l="1"/>
  <c r="H242" i="59"/>
  <c r="A331" i="60"/>
  <c r="A244" i="59"/>
  <c r="E241" i="59"/>
  <c r="G243" i="59" l="1"/>
  <c r="H243" i="59"/>
  <c r="A332" i="60"/>
  <c r="E242" i="59"/>
  <c r="A245" i="59"/>
  <c r="G244" i="59" l="1"/>
  <c r="H244" i="59"/>
  <c r="A333" i="60"/>
  <c r="E243" i="59"/>
  <c r="A246" i="59"/>
  <c r="G245" i="59" l="1"/>
  <c r="H245" i="59"/>
  <c r="A334" i="60"/>
  <c r="A247" i="59"/>
  <c r="E244" i="59"/>
  <c r="G246" i="59" l="1"/>
  <c r="H246" i="59"/>
  <c r="A335" i="60"/>
  <c r="E245" i="59"/>
  <c r="A248" i="59"/>
  <c r="G247" i="59" l="1"/>
  <c r="H247" i="59"/>
  <c r="A336" i="60"/>
  <c r="E246" i="59"/>
  <c r="A249" i="59"/>
  <c r="G248" i="59" l="1"/>
  <c r="H248" i="59"/>
  <c r="A337" i="60"/>
  <c r="A250" i="59"/>
  <c r="E247" i="59"/>
  <c r="G249" i="59" l="1"/>
  <c r="H249" i="59"/>
  <c r="A338" i="60"/>
  <c r="E248" i="59"/>
  <c r="A251" i="59"/>
  <c r="G250" i="59" l="1"/>
  <c r="H250" i="59"/>
  <c r="A339" i="60"/>
  <c r="E249" i="59"/>
  <c r="A252" i="59"/>
  <c r="G251" i="59" l="1"/>
  <c r="H251" i="59"/>
  <c r="A340" i="60"/>
  <c r="E250" i="59"/>
  <c r="A253" i="59"/>
  <c r="G252" i="59" l="1"/>
  <c r="H252" i="59"/>
  <c r="A341" i="60"/>
  <c r="E251" i="59"/>
  <c r="A254" i="59"/>
  <c r="G253" i="59" l="1"/>
  <c r="H253" i="59"/>
  <c r="A342" i="60"/>
  <c r="A255" i="59"/>
  <c r="E252" i="59"/>
  <c r="G254" i="59" l="1"/>
  <c r="H254" i="59"/>
  <c r="A343" i="60"/>
  <c r="E253" i="59"/>
  <c r="A256" i="59"/>
  <c r="G255" i="59" l="1"/>
  <c r="H255" i="59"/>
  <c r="A344" i="60"/>
  <c r="A257" i="59"/>
  <c r="E254" i="59"/>
  <c r="G256" i="59" l="1"/>
  <c r="H256" i="59"/>
  <c r="A345" i="60"/>
  <c r="E255" i="59"/>
  <c r="A258" i="59"/>
  <c r="G257" i="59" l="1"/>
  <c r="H257" i="59"/>
  <c r="A346" i="60"/>
  <c r="E256" i="59"/>
  <c r="A259" i="59"/>
  <c r="G258" i="59" l="1"/>
  <c r="A347" i="60"/>
  <c r="E257" i="59"/>
  <c r="H258" i="59"/>
  <c r="A260" i="59"/>
  <c r="G259" i="59" l="1"/>
  <c r="A348" i="60"/>
  <c r="E258" i="59"/>
  <c r="A261" i="59"/>
  <c r="H259" i="59"/>
  <c r="G260" i="59" l="1"/>
  <c r="A349" i="60"/>
  <c r="E259" i="59"/>
  <c r="H260" i="59"/>
  <c r="A262" i="59"/>
  <c r="G261" i="59" l="1"/>
  <c r="A350" i="60"/>
  <c r="E260" i="59"/>
  <c r="A263" i="59"/>
  <c r="H261" i="59"/>
  <c r="G262" i="59" l="1"/>
  <c r="H262" i="59"/>
  <c r="A351" i="60"/>
  <c r="E261" i="59"/>
  <c r="A264" i="59"/>
  <c r="G263" i="59" l="1"/>
  <c r="H263" i="59"/>
  <c r="A352" i="60"/>
  <c r="E262" i="59"/>
  <c r="A265" i="59"/>
  <c r="G264" i="59" l="1"/>
  <c r="H264" i="59"/>
  <c r="A353" i="60"/>
  <c r="E263" i="59"/>
  <c r="A266" i="59"/>
  <c r="G265" i="59" l="1"/>
  <c r="H265" i="59"/>
  <c r="A354" i="60"/>
  <c r="E264" i="59"/>
  <c r="A267" i="59"/>
  <c r="G266" i="59" l="1"/>
  <c r="H266" i="59"/>
  <c r="A355" i="60"/>
  <c r="E265" i="59"/>
  <c r="A268" i="59"/>
  <c r="G267" i="59" l="1"/>
  <c r="H267" i="59"/>
  <c r="A356" i="60"/>
  <c r="E266" i="59"/>
  <c r="A269" i="59"/>
  <c r="G268" i="59" l="1"/>
  <c r="H268" i="59"/>
  <c r="A357" i="60"/>
  <c r="E267" i="59"/>
  <c r="A270" i="59"/>
  <c r="G269" i="59" l="1"/>
  <c r="H269" i="59"/>
  <c r="A358" i="60"/>
  <c r="E268" i="59"/>
  <c r="A271" i="59"/>
  <c r="G270" i="59" l="1"/>
  <c r="H270" i="59"/>
  <c r="A359" i="60"/>
  <c r="E269" i="59"/>
  <c r="A272" i="59"/>
  <c r="G271" i="59" l="1"/>
  <c r="H271" i="59"/>
  <c r="A360" i="60"/>
  <c r="E270" i="59"/>
  <c r="A273" i="59"/>
  <c r="G272" i="59" l="1"/>
  <c r="H272" i="59"/>
  <c r="A361" i="60"/>
  <c r="E271" i="59"/>
  <c r="A274" i="59"/>
  <c r="G273" i="59" l="1"/>
  <c r="H273" i="59"/>
  <c r="A362" i="60"/>
  <c r="E272" i="59"/>
  <c r="A275" i="59"/>
  <c r="G274" i="59" l="1"/>
  <c r="H274" i="59"/>
  <c r="A363" i="60"/>
  <c r="E273" i="59"/>
  <c r="A276" i="59"/>
  <c r="G275" i="59" l="1"/>
  <c r="H275" i="59"/>
  <c r="A364" i="60"/>
  <c r="E274" i="59"/>
  <c r="A277" i="59"/>
  <c r="G276" i="59" l="1"/>
  <c r="H276" i="59"/>
  <c r="A365" i="60"/>
  <c r="E275" i="59"/>
  <c r="A278" i="59"/>
  <c r="G277" i="59" l="1"/>
  <c r="H277" i="59"/>
  <c r="A366" i="60"/>
  <c r="E276" i="59"/>
  <c r="A279" i="59"/>
  <c r="G278" i="59" l="1"/>
  <c r="H278" i="59"/>
  <c r="A367" i="60"/>
  <c r="E277" i="59"/>
  <c r="A280" i="59"/>
  <c r="G279" i="59" l="1"/>
  <c r="H279" i="59"/>
  <c r="A368" i="60"/>
  <c r="E278" i="59"/>
  <c r="A281" i="59"/>
  <c r="G280" i="59" l="1"/>
  <c r="H280" i="59"/>
  <c r="A369" i="60"/>
  <c r="E279" i="59"/>
  <c r="A282" i="59"/>
  <c r="G281" i="59" l="1"/>
  <c r="H281" i="59"/>
  <c r="A370" i="60"/>
  <c r="E280" i="59"/>
  <c r="A283" i="59"/>
  <c r="G282" i="59" l="1"/>
  <c r="H282" i="59"/>
  <c r="A371" i="60"/>
  <c r="E281" i="59"/>
  <c r="A284" i="59"/>
  <c r="G283" i="59" l="1"/>
  <c r="H283" i="59"/>
  <c r="A372" i="60"/>
  <c r="A285" i="59"/>
  <c r="E282" i="59"/>
  <c r="G284" i="59" l="1"/>
  <c r="H284" i="59"/>
  <c r="A373" i="60"/>
  <c r="E283" i="59"/>
  <c r="A286" i="59"/>
  <c r="G285" i="59" l="1"/>
  <c r="H285" i="59"/>
  <c r="A374" i="60"/>
  <c r="E284" i="59"/>
  <c r="A287" i="59"/>
  <c r="G286" i="59" l="1"/>
  <c r="H286" i="59"/>
  <c r="A375" i="60"/>
  <c r="E285" i="59"/>
  <c r="A288" i="59"/>
  <c r="G287" i="59" l="1"/>
  <c r="H287" i="59"/>
  <c r="A376" i="60"/>
  <c r="E286" i="59"/>
  <c r="A289" i="59"/>
  <c r="G288" i="59" l="1"/>
  <c r="H288" i="59"/>
  <c r="A377" i="60"/>
  <c r="E287" i="59"/>
  <c r="A290" i="59"/>
  <c r="G289" i="59" l="1"/>
  <c r="A378" i="60"/>
  <c r="E288" i="59"/>
  <c r="A291" i="59"/>
  <c r="H289" i="59"/>
  <c r="G290" i="59" l="1"/>
  <c r="A379" i="60"/>
  <c r="E289" i="59"/>
  <c r="H290" i="59"/>
  <c r="A292" i="59"/>
  <c r="G291" i="59" l="1"/>
  <c r="A380" i="60"/>
  <c r="E290" i="59"/>
  <c r="H291" i="59"/>
  <c r="A293" i="59"/>
  <c r="G292" i="59" l="1"/>
  <c r="A381" i="60"/>
  <c r="A294" i="59"/>
  <c r="H292" i="59"/>
  <c r="E291" i="59"/>
  <c r="G293" i="59" l="1"/>
  <c r="H293" i="59"/>
  <c r="A382" i="60"/>
  <c r="E292" i="59"/>
  <c r="A295" i="59"/>
  <c r="G294" i="59" l="1"/>
  <c r="H294" i="59"/>
  <c r="A383" i="60"/>
  <c r="E293" i="59"/>
  <c r="A296" i="59"/>
  <c r="G295" i="59" l="1"/>
  <c r="H295" i="59"/>
  <c r="A384" i="60"/>
  <c r="E294" i="59"/>
  <c r="A297" i="59"/>
  <c r="G296" i="59" l="1"/>
  <c r="H296" i="59"/>
  <c r="A385" i="60"/>
  <c r="E295" i="59"/>
  <c r="A298" i="59"/>
  <c r="G297" i="59" l="1"/>
  <c r="H297" i="59"/>
  <c r="A386" i="60"/>
  <c r="E296" i="59"/>
  <c r="A299" i="59"/>
  <c r="G298" i="59" l="1"/>
  <c r="H298" i="59"/>
  <c r="A387" i="60"/>
  <c r="E297" i="59"/>
  <c r="A300" i="59"/>
  <c r="G299" i="59" l="1"/>
  <c r="H299" i="59"/>
  <c r="A388" i="60"/>
  <c r="E298" i="59"/>
  <c r="A301" i="59"/>
  <c r="G300" i="59" l="1"/>
  <c r="H300" i="59"/>
  <c r="A389" i="60"/>
  <c r="E299" i="59"/>
  <c r="A302" i="59"/>
  <c r="G301" i="59" l="1"/>
  <c r="H301" i="59"/>
  <c r="A390" i="60"/>
  <c r="E300" i="59"/>
  <c r="A303" i="59"/>
  <c r="G302" i="59" l="1"/>
  <c r="H302" i="59"/>
  <c r="A391" i="60"/>
  <c r="E301" i="59"/>
  <c r="A304" i="59"/>
  <c r="G303" i="59" l="1"/>
  <c r="H303" i="59"/>
  <c r="A392" i="60"/>
  <c r="E302" i="59"/>
  <c r="A305" i="59"/>
  <c r="G304" i="59" l="1"/>
  <c r="H304" i="59"/>
  <c r="A393" i="60"/>
  <c r="E303" i="59"/>
  <c r="A306" i="59"/>
  <c r="G305" i="59" l="1"/>
  <c r="H305" i="59"/>
  <c r="A394" i="60"/>
  <c r="E304" i="59"/>
  <c r="A307" i="59"/>
  <c r="G306" i="59" l="1"/>
  <c r="H306" i="59"/>
  <c r="A395" i="60"/>
  <c r="E305" i="59"/>
  <c r="A308" i="59"/>
  <c r="G307" i="59" l="1"/>
  <c r="H307" i="59"/>
  <c r="A396" i="60"/>
  <c r="E306" i="59"/>
  <c r="A309" i="59"/>
  <c r="G308" i="59" l="1"/>
  <c r="H308" i="59"/>
  <c r="A397" i="60"/>
  <c r="E307" i="59"/>
  <c r="A310" i="59"/>
  <c r="G309" i="59" l="1"/>
  <c r="H309" i="59"/>
  <c r="A398" i="60"/>
  <c r="E308" i="59"/>
  <c r="A311" i="59"/>
  <c r="G310" i="59" l="1"/>
  <c r="H310" i="59"/>
  <c r="A399" i="60"/>
  <c r="E309" i="59"/>
  <c r="A312" i="59"/>
  <c r="G311" i="59" l="1"/>
  <c r="H311" i="59"/>
  <c r="A400" i="60"/>
  <c r="E310" i="59"/>
  <c r="A313" i="59"/>
  <c r="G312" i="59" l="1"/>
  <c r="H312" i="59"/>
  <c r="A401" i="60"/>
  <c r="E311" i="59"/>
  <c r="A314" i="59"/>
  <c r="G313" i="59" l="1"/>
  <c r="H313" i="59"/>
  <c r="A402" i="60"/>
  <c r="E312" i="59"/>
  <c r="A315" i="59"/>
  <c r="G314" i="59" l="1"/>
  <c r="H314" i="59"/>
  <c r="A403" i="60"/>
  <c r="E313" i="59"/>
  <c r="A316" i="59"/>
  <c r="G315" i="59" l="1"/>
  <c r="H315" i="59"/>
  <c r="A404" i="60"/>
  <c r="A317" i="59"/>
  <c r="E314" i="59"/>
  <c r="G316" i="59" l="1"/>
  <c r="H316" i="59"/>
  <c r="A405" i="60"/>
  <c r="E315" i="59"/>
  <c r="A318" i="59"/>
  <c r="G317" i="59" l="1"/>
  <c r="H317" i="59"/>
  <c r="A406" i="60"/>
  <c r="E316" i="59"/>
  <c r="A319" i="59"/>
  <c r="G318" i="59" l="1"/>
  <c r="H318" i="59"/>
  <c r="A407" i="60"/>
  <c r="E317" i="59"/>
  <c r="A320" i="59"/>
  <c r="G319" i="59" l="1"/>
  <c r="A408" i="60"/>
  <c r="E318" i="59"/>
  <c r="H319" i="59"/>
  <c r="A321" i="59"/>
  <c r="G320" i="59" l="1"/>
  <c r="A409" i="60"/>
  <c r="E319" i="59"/>
  <c r="H320" i="59"/>
  <c r="A322" i="59"/>
  <c r="G321" i="59" l="1"/>
  <c r="A410" i="60"/>
  <c r="E320" i="59"/>
  <c r="H321" i="59"/>
  <c r="A323" i="59"/>
  <c r="G322" i="59" l="1"/>
  <c r="A411" i="60"/>
  <c r="E321" i="59"/>
  <c r="H322" i="59"/>
  <c r="A324" i="59"/>
  <c r="G323" i="59" l="1"/>
  <c r="H323" i="59"/>
  <c r="A412" i="60"/>
  <c r="E322" i="59"/>
  <c r="A325" i="59"/>
  <c r="G324" i="59" l="1"/>
  <c r="H324" i="59"/>
  <c r="A413" i="60"/>
  <c r="E323" i="59"/>
  <c r="A326" i="59"/>
  <c r="G325" i="59" l="1"/>
  <c r="H325" i="59"/>
  <c r="A414" i="60"/>
  <c r="E324" i="59"/>
  <c r="A327" i="59"/>
  <c r="G326" i="59" l="1"/>
  <c r="H326" i="59"/>
  <c r="A415" i="60"/>
  <c r="E325" i="59"/>
  <c r="A328" i="59"/>
  <c r="G327" i="59" l="1"/>
  <c r="H327" i="59"/>
  <c r="A416" i="60"/>
  <c r="E326" i="59"/>
  <c r="A329" i="59"/>
  <c r="G328" i="59" l="1"/>
  <c r="H328" i="59"/>
  <c r="A417" i="60"/>
  <c r="E327" i="59"/>
  <c r="A330" i="59"/>
  <c r="G329" i="59" l="1"/>
  <c r="H329" i="59"/>
  <c r="A418" i="60"/>
  <c r="E328" i="59"/>
  <c r="A331" i="59"/>
  <c r="G330" i="59" l="1"/>
  <c r="H330" i="59"/>
  <c r="A419" i="60"/>
  <c r="E329" i="59"/>
  <c r="A332" i="59"/>
  <c r="G331" i="59" l="1"/>
  <c r="H331" i="59"/>
  <c r="A420" i="60"/>
  <c r="E330" i="59"/>
  <c r="A333" i="59"/>
  <c r="G332" i="59" l="1"/>
  <c r="H332" i="59"/>
  <c r="A421" i="60"/>
  <c r="E331" i="59"/>
  <c r="A334" i="59"/>
  <c r="G333" i="59" l="1"/>
  <c r="H333" i="59"/>
  <c r="A422" i="60"/>
  <c r="E332" i="59"/>
  <c r="A335" i="59"/>
  <c r="G334" i="59" l="1"/>
  <c r="H334" i="59"/>
  <c r="A423" i="60"/>
  <c r="E333" i="59"/>
  <c r="A336" i="59"/>
  <c r="G335" i="59" l="1"/>
  <c r="H335" i="59"/>
  <c r="A424" i="60"/>
  <c r="E334" i="59"/>
  <c r="A337" i="59"/>
  <c r="G336" i="59" l="1"/>
  <c r="H336" i="59"/>
  <c r="A425" i="60"/>
  <c r="E335" i="59"/>
  <c r="A338" i="59"/>
  <c r="G337" i="59" l="1"/>
  <c r="H337" i="59"/>
  <c r="A426" i="60"/>
  <c r="E336" i="59"/>
  <c r="A339" i="59"/>
  <c r="G338" i="59" l="1"/>
  <c r="H338" i="59"/>
  <c r="A427" i="60"/>
  <c r="E337" i="59"/>
  <c r="A340" i="59"/>
  <c r="G339" i="59" l="1"/>
  <c r="H339" i="59"/>
  <c r="A428" i="60"/>
  <c r="E338" i="59"/>
  <c r="A341" i="59"/>
  <c r="G340" i="59" l="1"/>
  <c r="H340" i="59"/>
  <c r="A429" i="60"/>
  <c r="E339" i="59"/>
  <c r="A342" i="59"/>
  <c r="G341" i="59" l="1"/>
  <c r="H341" i="59"/>
  <c r="A430" i="60"/>
  <c r="E340" i="59"/>
  <c r="A343" i="59"/>
  <c r="G342" i="59" l="1"/>
  <c r="H342" i="59"/>
  <c r="A431" i="60"/>
  <c r="E341" i="59"/>
  <c r="A344" i="59"/>
  <c r="H343" i="59" l="1"/>
  <c r="G343" i="59"/>
  <c r="A432" i="60"/>
  <c r="E342" i="59"/>
  <c r="A345" i="59"/>
  <c r="H344" i="59" l="1"/>
  <c r="G344" i="59"/>
  <c r="A433" i="60"/>
  <c r="E343" i="59"/>
  <c r="A346" i="59"/>
  <c r="G345" i="59" l="1"/>
  <c r="H345" i="59"/>
  <c r="A434" i="60"/>
  <c r="E344" i="59"/>
  <c r="A347" i="59"/>
  <c r="G346" i="59" l="1"/>
  <c r="H346" i="59"/>
  <c r="A435" i="60"/>
  <c r="E345" i="59"/>
  <c r="A348" i="59"/>
  <c r="G347" i="59" l="1"/>
  <c r="H347" i="59"/>
  <c r="A436" i="60"/>
  <c r="E346" i="59"/>
  <c r="A349" i="59"/>
  <c r="G348" i="59" l="1"/>
  <c r="H348" i="59"/>
  <c r="A437" i="60"/>
  <c r="E347" i="59"/>
  <c r="A350" i="59"/>
  <c r="G349" i="59" l="1"/>
  <c r="H349" i="59"/>
  <c r="A438" i="60"/>
  <c r="E348" i="59"/>
  <c r="A351" i="59"/>
  <c r="G350" i="59" l="1"/>
  <c r="A439" i="60"/>
  <c r="E349" i="59"/>
  <c r="H350" i="59"/>
  <c r="A352" i="59"/>
  <c r="G351" i="59" l="1"/>
  <c r="A440" i="60"/>
  <c r="E350" i="59"/>
  <c r="H351" i="59"/>
  <c r="A353" i="59"/>
  <c r="G352" i="59" l="1"/>
  <c r="A441" i="60"/>
  <c r="E351" i="59"/>
  <c r="H352" i="59"/>
  <c r="A354" i="59"/>
  <c r="G353" i="59" l="1"/>
  <c r="A442" i="60"/>
  <c r="E352" i="59"/>
  <c r="H353" i="59"/>
  <c r="A355" i="59"/>
  <c r="G354" i="59" l="1"/>
  <c r="H354" i="59"/>
  <c r="A443" i="60"/>
  <c r="E353" i="59"/>
  <c r="A356" i="59"/>
  <c r="H355" i="59" l="1"/>
  <c r="G355" i="59"/>
  <c r="A444" i="60"/>
  <c r="E354" i="59"/>
  <c r="A357" i="59"/>
  <c r="G356" i="59" l="1"/>
  <c r="H356" i="59"/>
  <c r="A445" i="60"/>
  <c r="E355" i="59"/>
  <c r="A358" i="59"/>
  <c r="G357" i="59" l="1"/>
  <c r="H357" i="59"/>
  <c r="A446" i="60"/>
  <c r="E356" i="59"/>
  <c r="A359" i="59"/>
  <c r="G358" i="59" l="1"/>
  <c r="H358" i="59"/>
  <c r="A447" i="60"/>
  <c r="E357" i="59"/>
  <c r="A360" i="59"/>
  <c r="H359" i="59" l="1"/>
  <c r="G359" i="59"/>
  <c r="A448" i="60"/>
  <c r="E358" i="59"/>
  <c r="A361" i="59"/>
  <c r="H360" i="59" l="1"/>
  <c r="G360" i="59"/>
  <c r="A449" i="60"/>
  <c r="E359" i="59"/>
  <c r="A362" i="59"/>
  <c r="G361" i="59" l="1"/>
  <c r="H361" i="59"/>
  <c r="A450" i="60"/>
  <c r="E360" i="59"/>
  <c r="A363" i="59"/>
  <c r="G362" i="59" l="1"/>
  <c r="H362" i="59"/>
  <c r="A451" i="60"/>
  <c r="E361" i="59"/>
  <c r="A364" i="59"/>
  <c r="G363" i="59" l="1"/>
  <c r="H363" i="59"/>
  <c r="A452" i="60"/>
  <c r="E362" i="59"/>
  <c r="A365" i="59"/>
  <c r="G364" i="59" l="1"/>
  <c r="H364" i="59"/>
  <c r="A453" i="60"/>
  <c r="E363" i="59"/>
  <c r="A366" i="59"/>
  <c r="G365" i="59" l="1"/>
  <c r="H365" i="59"/>
  <c r="A454" i="60"/>
  <c r="E364" i="59"/>
  <c r="A367" i="59"/>
  <c r="G366" i="59" l="1"/>
  <c r="H366" i="59"/>
  <c r="A455" i="60"/>
  <c r="E365" i="59"/>
  <c r="A368" i="59"/>
  <c r="G367" i="59" l="1"/>
  <c r="H367" i="59"/>
  <c r="A456" i="60"/>
  <c r="E366" i="59"/>
  <c r="A369" i="59"/>
  <c r="H368" i="59" l="1"/>
  <c r="G368" i="59"/>
  <c r="A457" i="60"/>
  <c r="E367" i="59"/>
  <c r="A370" i="59"/>
  <c r="G369" i="59" l="1"/>
  <c r="H369" i="59"/>
  <c r="A458" i="60"/>
  <c r="E368" i="59"/>
  <c r="A371" i="59"/>
  <c r="G370" i="59" l="1"/>
  <c r="H370" i="59"/>
  <c r="A459" i="60"/>
  <c r="E369" i="59"/>
  <c r="A372" i="59"/>
  <c r="G371" i="59" l="1"/>
  <c r="H371" i="59"/>
  <c r="A460" i="60"/>
  <c r="E370" i="59"/>
  <c r="A373" i="59"/>
  <c r="G372" i="59" l="1"/>
  <c r="H372" i="59"/>
  <c r="A461" i="60"/>
  <c r="E371" i="59"/>
  <c r="A374" i="59"/>
  <c r="G373" i="59" l="1"/>
  <c r="H373" i="59"/>
  <c r="A462" i="60"/>
  <c r="E372" i="59"/>
  <c r="A375" i="59"/>
  <c r="G374" i="59" l="1"/>
  <c r="H374" i="59"/>
  <c r="A463" i="60"/>
  <c r="E373" i="59"/>
  <c r="A376" i="59"/>
  <c r="G375" i="59" l="1"/>
  <c r="H375" i="59"/>
  <c r="A464" i="60"/>
  <c r="E374" i="59"/>
  <c r="A377" i="59"/>
  <c r="G376" i="59" l="1"/>
  <c r="H376" i="59"/>
  <c r="A465" i="60"/>
  <c r="E375" i="59"/>
  <c r="A378" i="59"/>
  <c r="H377" i="59" l="1"/>
  <c r="G377" i="59"/>
  <c r="A466" i="60"/>
  <c r="E376" i="59"/>
  <c r="A379" i="59"/>
  <c r="G378" i="59" l="1"/>
  <c r="H378" i="59"/>
  <c r="A467" i="60"/>
  <c r="E377" i="59"/>
  <c r="A380" i="59"/>
  <c r="G379" i="59" l="1"/>
  <c r="H379" i="59"/>
  <c r="A468" i="60"/>
  <c r="E378" i="59"/>
  <c r="A381" i="59"/>
  <c r="G380" i="59" l="1"/>
  <c r="H380" i="59"/>
  <c r="A469" i="60"/>
  <c r="E379" i="59"/>
  <c r="A382" i="59"/>
  <c r="G381" i="59" l="1"/>
  <c r="A470" i="60"/>
  <c r="E380" i="59"/>
  <c r="H381" i="59"/>
  <c r="A383" i="59"/>
  <c r="A471" i="60" l="1"/>
  <c r="E381" i="59"/>
  <c r="A384" i="59"/>
  <c r="A472" i="60" l="1"/>
  <c r="A385" i="59"/>
  <c r="A473" i="60" l="1"/>
  <c r="A386" i="59"/>
  <c r="A474" i="60" l="1"/>
  <c r="A387" i="59"/>
  <c r="A475" i="60" l="1"/>
  <c r="A388" i="59"/>
  <c r="A476" i="60" l="1"/>
  <c r="A477" i="60" s="1"/>
  <c r="A478" i="60" s="1"/>
  <c r="A479" i="60" s="1"/>
  <c r="A480" i="60" s="1"/>
  <c r="A481" i="60" s="1"/>
  <c r="A482" i="60" s="1"/>
  <c r="A483" i="60" s="1"/>
  <c r="A484" i="60" s="1"/>
  <c r="A485" i="60" s="1"/>
  <c r="A486" i="60" s="1"/>
  <c r="A487" i="60" s="1"/>
  <c r="A488" i="60" s="1"/>
  <c r="A489" i="60" s="1"/>
  <c r="A490" i="60" s="1"/>
  <c r="A491" i="60" s="1"/>
  <c r="A492" i="60" s="1"/>
  <c r="A493" i="60" s="1"/>
  <c r="A494" i="60" s="1"/>
  <c r="A495" i="60" s="1"/>
  <c r="A496" i="60" s="1"/>
  <c r="A497" i="60" s="1"/>
  <c r="A498" i="60" s="1"/>
  <c r="A499" i="60" s="1"/>
  <c r="A500" i="60" s="1"/>
  <c r="A501" i="60" s="1"/>
  <c r="A502" i="60" s="1"/>
  <c r="A503" i="60" s="1"/>
  <c r="A504" i="60" s="1"/>
  <c r="A505" i="60" s="1"/>
  <c r="A506" i="60" s="1"/>
  <c r="A507" i="60" s="1"/>
  <c r="A508" i="60" s="1"/>
  <c r="A509" i="60" s="1"/>
  <c r="A510" i="60" s="1"/>
  <c r="A511" i="60" s="1"/>
  <c r="A512" i="60" s="1"/>
  <c r="A513" i="60" s="1"/>
  <c r="A514" i="60" s="1"/>
  <c r="A515" i="60" s="1"/>
  <c r="A516" i="60" s="1"/>
  <c r="A517" i="60" s="1"/>
  <c r="A518" i="60" s="1"/>
  <c r="A519" i="60" s="1"/>
  <c r="A520" i="60" s="1"/>
  <c r="A521" i="60" s="1"/>
  <c r="A522" i="60" s="1"/>
  <c r="A523" i="60" s="1"/>
  <c r="A524" i="60" s="1"/>
  <c r="A525" i="60" s="1"/>
  <c r="A526" i="60" s="1"/>
  <c r="A527" i="60" s="1"/>
  <c r="A528" i="60" s="1"/>
  <c r="A529" i="60" s="1"/>
  <c r="A530" i="60" s="1"/>
  <c r="A531" i="60" s="1"/>
  <c r="A532" i="60" s="1"/>
  <c r="A533" i="60" s="1"/>
  <c r="A534" i="60" s="1"/>
  <c r="A535" i="60" s="1"/>
  <c r="A536" i="60" s="1"/>
  <c r="A537" i="60" s="1"/>
  <c r="A538" i="60" s="1"/>
  <c r="A539" i="60" s="1"/>
  <c r="A540" i="60" s="1"/>
  <c r="A541" i="60" s="1"/>
  <c r="A542" i="60" s="1"/>
  <c r="A543" i="60" s="1"/>
  <c r="A544" i="60" s="1"/>
  <c r="A545" i="60" s="1"/>
  <c r="A546" i="60" s="1"/>
  <c r="A547" i="60" s="1"/>
  <c r="A548" i="60" s="1"/>
  <c r="A549" i="60" s="1"/>
  <c r="A550" i="60" s="1"/>
  <c r="A551" i="60" s="1"/>
  <c r="A552" i="60" s="1"/>
  <c r="A553" i="60" s="1"/>
  <c r="A554" i="60" s="1"/>
  <c r="A555" i="60" s="1"/>
  <c r="A556" i="60" s="1"/>
  <c r="A557" i="60" s="1"/>
  <c r="A558" i="60" s="1"/>
  <c r="A559" i="60" s="1"/>
  <c r="A560" i="60" s="1"/>
  <c r="A561" i="60" s="1"/>
  <c r="A562" i="60" s="1"/>
  <c r="A563" i="60" s="1"/>
  <c r="A564" i="60" s="1"/>
  <c r="A565" i="60" s="1"/>
  <c r="A566" i="60" s="1"/>
  <c r="A567" i="60" s="1"/>
  <c r="A568" i="60" s="1"/>
  <c r="A569" i="60" s="1"/>
  <c r="A570" i="60" s="1"/>
  <c r="A571" i="60" s="1"/>
  <c r="A572" i="60" s="1"/>
  <c r="A573" i="60" s="1"/>
  <c r="A574" i="60" s="1"/>
  <c r="A575" i="60" s="1"/>
  <c r="A576" i="60" s="1"/>
  <c r="A577" i="60" s="1"/>
  <c r="A578" i="60" s="1"/>
  <c r="A579" i="60" s="1"/>
  <c r="A580" i="60" s="1"/>
  <c r="A581" i="60" s="1"/>
  <c r="A582" i="60" s="1"/>
  <c r="A583" i="60" s="1"/>
  <c r="A584" i="60" s="1"/>
  <c r="A585" i="60" s="1"/>
  <c r="A586" i="60" s="1"/>
  <c r="A587" i="60" s="1"/>
  <c r="A588" i="60" s="1"/>
  <c r="A589" i="60" s="1"/>
  <c r="A590" i="60" s="1"/>
  <c r="A591" i="60" s="1"/>
  <c r="A592" i="60" s="1"/>
  <c r="A593" i="60" s="1"/>
  <c r="A594" i="60" s="1"/>
  <c r="A595" i="60" s="1"/>
  <c r="A596" i="60" s="1"/>
  <c r="A597" i="60" s="1"/>
  <c r="A598" i="60" s="1"/>
  <c r="A599" i="60" s="1"/>
  <c r="A600" i="60" s="1"/>
  <c r="A601" i="60" s="1"/>
  <c r="A602" i="60" s="1"/>
  <c r="A603" i="60" s="1"/>
  <c r="A604" i="60" s="1"/>
  <c r="A605" i="60" s="1"/>
  <c r="A606" i="60" s="1"/>
  <c r="A607" i="60" s="1"/>
  <c r="A608" i="60" s="1"/>
  <c r="A609" i="60" s="1"/>
  <c r="A610" i="60" s="1"/>
  <c r="A611" i="60" s="1"/>
  <c r="A612" i="60" s="1"/>
  <c r="A613" i="60" s="1"/>
  <c r="A614" i="60" s="1"/>
  <c r="A615" i="60" s="1"/>
  <c r="A616" i="60" s="1"/>
  <c r="A617" i="60" s="1"/>
  <c r="A618" i="60" s="1"/>
  <c r="A619" i="60" s="1"/>
  <c r="A620" i="60" s="1"/>
  <c r="A621" i="60" s="1"/>
  <c r="A622" i="60" s="1"/>
  <c r="A623" i="60" s="1"/>
  <c r="A624" i="60" s="1"/>
  <c r="A625" i="60" s="1"/>
  <c r="A626" i="60" s="1"/>
  <c r="A627" i="60" s="1"/>
  <c r="A628" i="60" s="1"/>
  <c r="A629" i="60" s="1"/>
  <c r="A630" i="60" s="1"/>
  <c r="A631" i="60" s="1"/>
  <c r="A632" i="60" s="1"/>
  <c r="A633" i="60" s="1"/>
  <c r="A634" i="60" s="1"/>
  <c r="A635" i="60" s="1"/>
  <c r="A636" i="60" s="1"/>
  <c r="A637" i="60" s="1"/>
  <c r="A638" i="60" s="1"/>
  <c r="A639" i="60" s="1"/>
  <c r="A640" i="60" s="1"/>
  <c r="A641" i="60" s="1"/>
  <c r="A642" i="60" s="1"/>
  <c r="A643" i="60" s="1"/>
  <c r="A644" i="60" s="1"/>
  <c r="A645" i="60" s="1"/>
  <c r="A646" i="60" s="1"/>
  <c r="A647" i="60" s="1"/>
  <c r="A648" i="60" s="1"/>
  <c r="A649" i="60" s="1"/>
  <c r="A650" i="60" s="1"/>
  <c r="A651" i="60" s="1"/>
  <c r="A652" i="60" s="1"/>
  <c r="A653" i="60" s="1"/>
  <c r="A654" i="60" s="1"/>
  <c r="A655" i="60" s="1"/>
  <c r="A656" i="60" s="1"/>
  <c r="A657" i="60" s="1"/>
  <c r="A658" i="60" s="1"/>
  <c r="A659" i="60" s="1"/>
  <c r="A660" i="60" s="1"/>
  <c r="A661" i="60" s="1"/>
  <c r="A662" i="60" s="1"/>
  <c r="A663" i="60" s="1"/>
  <c r="A664" i="60" s="1"/>
  <c r="A665" i="60" s="1"/>
  <c r="A666" i="60" s="1"/>
  <c r="A667" i="60" s="1"/>
  <c r="A668" i="60" s="1"/>
  <c r="A669" i="60" s="1"/>
  <c r="A670" i="60" s="1"/>
  <c r="A671" i="60" s="1"/>
  <c r="A672" i="60" s="1"/>
  <c r="A673" i="60" s="1"/>
  <c r="A674" i="60" s="1"/>
  <c r="A675" i="60" s="1"/>
  <c r="A676" i="60" s="1"/>
  <c r="A677" i="60" s="1"/>
  <c r="A678" i="60" s="1"/>
  <c r="A679" i="60" s="1"/>
  <c r="A680" i="60" s="1"/>
  <c r="A681" i="60" s="1"/>
  <c r="A682" i="60" s="1"/>
  <c r="A683" i="60" s="1"/>
  <c r="A684" i="60" s="1"/>
  <c r="A685" i="60" s="1"/>
  <c r="A686" i="60" s="1"/>
  <c r="A687" i="60" s="1"/>
  <c r="A688" i="60" s="1"/>
  <c r="A689" i="60" s="1"/>
  <c r="A690" i="60" s="1"/>
  <c r="A691" i="60" s="1"/>
  <c r="A692" i="60" s="1"/>
  <c r="A693" i="60" s="1"/>
  <c r="A694" i="60" s="1"/>
  <c r="A695" i="60" s="1"/>
  <c r="A696" i="60" s="1"/>
  <c r="A697" i="60" s="1"/>
  <c r="A698" i="60" s="1"/>
  <c r="A699" i="60" s="1"/>
  <c r="A700" i="60" s="1"/>
  <c r="A701" i="60" s="1"/>
  <c r="A702" i="60" s="1"/>
  <c r="A703" i="60" s="1"/>
  <c r="A704" i="60" s="1"/>
  <c r="A705" i="60" s="1"/>
  <c r="A706" i="60" s="1"/>
  <c r="A707" i="60" s="1"/>
  <c r="A708" i="60" s="1"/>
  <c r="A709" i="60" s="1"/>
  <c r="A710" i="60" s="1"/>
  <c r="A711" i="60" s="1"/>
  <c r="A712" i="60" s="1"/>
  <c r="A713" i="60" s="1"/>
  <c r="A714" i="60" s="1"/>
  <c r="A715" i="60" s="1"/>
  <c r="A716" i="60" s="1"/>
  <c r="A717" i="60" s="1"/>
  <c r="A718" i="60" s="1"/>
  <c r="A719" i="60" s="1"/>
  <c r="A720" i="60" s="1"/>
  <c r="A721" i="60" s="1"/>
  <c r="A722" i="60" s="1"/>
  <c r="A723" i="60" s="1"/>
  <c r="A724" i="60" s="1"/>
  <c r="A725" i="60" s="1"/>
  <c r="A726" i="60" s="1"/>
  <c r="A727" i="60" s="1"/>
  <c r="A728" i="60" s="1"/>
  <c r="A729" i="60" s="1"/>
  <c r="A730" i="60" s="1"/>
  <c r="A731" i="60" s="1"/>
  <c r="A732" i="60" s="1"/>
  <c r="A733" i="60" s="1"/>
  <c r="A734" i="60" s="1"/>
  <c r="A735" i="60" s="1"/>
  <c r="A736" i="60" s="1"/>
  <c r="A737" i="60" s="1"/>
  <c r="A738" i="60" s="1"/>
  <c r="A739" i="60" s="1"/>
  <c r="A740" i="60" s="1"/>
  <c r="A741" i="60" s="1"/>
  <c r="A742" i="60" s="1"/>
  <c r="A743" i="60" s="1"/>
  <c r="A744" i="60" s="1"/>
  <c r="A745" i="60" s="1"/>
  <c r="A746" i="60" s="1"/>
  <c r="A747" i="60" s="1"/>
  <c r="A748" i="60" s="1"/>
  <c r="A749" i="60" s="1"/>
  <c r="A750" i="60" s="1"/>
  <c r="A751" i="60" s="1"/>
  <c r="A752" i="60" s="1"/>
  <c r="A753" i="60" s="1"/>
  <c r="A754" i="60" s="1"/>
  <c r="A755" i="60" s="1"/>
  <c r="A756" i="60" s="1"/>
  <c r="A757" i="60" s="1"/>
  <c r="A758" i="60" s="1"/>
  <c r="A759" i="60" s="1"/>
  <c r="A760" i="60" s="1"/>
  <c r="A389" i="59"/>
  <c r="A390" i="59" l="1"/>
  <c r="A391" i="59" l="1"/>
  <c r="A392" i="59" l="1"/>
  <c r="A393" i="59" l="1"/>
  <c r="A394" i="59" l="1"/>
  <c r="A395" i="59" l="1"/>
  <c r="A396" i="59" l="1"/>
  <c r="A397" i="59" l="1"/>
</calcChain>
</file>

<file path=xl/sharedStrings.xml><?xml version="1.0" encoding="utf-8"?>
<sst xmlns="http://schemas.openxmlformats.org/spreadsheetml/2006/main" count="1702" uniqueCount="313">
  <si>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</si>
  <si>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</si>
  <si>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</si>
  <si>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</si>
  <si>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</si>
  <si>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</si>
  <si>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</si>
  <si>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</si>
  <si>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</si>
  <si>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</si>
  <si>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</si>
  <si>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</si>
  <si>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</si>
  <si>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</si>
  <si>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</si>
  <si>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</si>
  <si>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</si>
  <si>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</si>
  <si>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</si>
  <si>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</si>
  <si>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</si>
  <si>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</si>
  <si>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</si>
  <si>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</si>
  <si>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</si>
  <si>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</si>
  <si>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</si>
  <si>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</si>
  <si>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</si>
  <si>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</si>
  <si>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</si>
  <si>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</si>
  <si>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</si>
  <si>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</si>
  <si>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</si>
  <si>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</si>
  <si>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</si>
  <si>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</si>
  <si>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</si>
  <si>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</si>
  <si>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</si>
  <si>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</si>
  <si>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</si>
  <si>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</si>
  <si>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</si>
  <si>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</si>
  <si>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</si>
  <si>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</si>
  <si>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</si>
  <si>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</si>
  <si>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</si>
  <si>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</si>
  <si>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</si>
  <si>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</si>
  <si>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</si>
  <si>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</si>
  <si>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</si>
  <si>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</si>
  <si>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</si>
  <si>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</si>
  <si>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</si>
  <si>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</si>
  <si>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</si>
  <si>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</si>
  <si>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</si>
  <si>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</si>
  <si>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</si>
  <si>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</si>
  <si>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</si>
  <si>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</si>
  <si>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</si>
  <si>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</si>
  <si>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</si>
  <si>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</si>
  <si>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</si>
  <si>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</si>
  <si>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</si>
  <si>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</si>
  <si>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</si>
  <si>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</si>
  <si>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</si>
  <si>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</si>
  <si>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</si>
  <si>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</si>
  <si>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</si>
  <si>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</si>
  <si>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</si>
  <si>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</si>
  <si>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</si>
  <si>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</si>
  <si>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</si>
  <si>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</si>
  <si>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</si>
  <si>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</si>
  <si>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</si>
  <si>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</si>
  <si>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</si>
  <si>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</si>
  <si>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</si>
  <si>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</si>
  <si>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</si>
  <si>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</si>
  <si>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</si>
  <si>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</si>
  <si>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</si>
  <si>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</si>
  <si>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Últimos 13 meses</t>
  </si>
  <si>
    <t>Sin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</si>
  <si>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</si>
  <si>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</si>
  <si>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</si>
  <si>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</si>
  <si>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</si>
  <si>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</si>
  <si>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</si>
  <si>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</si>
  <si>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</si>
  <si>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</si>
  <si>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</si>
  <si>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</si>
  <si>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Ciclo Combinado</t>
  </si>
  <si>
    <t>Solar Fotovoltaica</t>
  </si>
  <si>
    <t>Solar Térmica</t>
  </si>
  <si>
    <t>Residuos Renovables</t>
  </si>
  <si>
    <t>Otras Renovables</t>
  </si>
  <si>
    <t>Fecha</t>
  </si>
  <si>
    <t>Informes Actividad Consejo</t>
  </si>
  <si>
    <t>(GWh)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</si>
  <si>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</si>
  <si>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</si>
  <si>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</si>
  <si>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</si>
  <si>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</si>
  <si>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Motores diesel</t>
  </si>
  <si>
    <t>Turbina de gas</t>
  </si>
  <si>
    <t>Turbina de vapor</t>
  </si>
  <si>
    <t>Generación auxiliar</t>
  </si>
  <si>
    <t>Hidroeólica</t>
  </si>
  <si>
    <t>Ceuta</t>
  </si>
  <si>
    <t>Melilla</t>
  </si>
  <si>
    <t>Baleares</t>
  </si>
  <si>
    <t>Canarias</t>
  </si>
  <si>
    <t>Mes año anterior (MWh)</t>
  </si>
  <si>
    <t>Año anterior (MWh)</t>
  </si>
  <si>
    <t>Año móvil 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</si>
  <si>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</si>
  <si>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</si>
  <si>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</si>
  <si>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</si>
  <si>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</si>
  <si>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</si>
  <si>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</si>
  <si>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</si>
  <si>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</si>
  <si>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</si>
  <si>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</si>
  <si>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</si>
  <si>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</si>
  <si>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Producible Eólico Diario (GWh)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</si>
  <si>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</si>
  <si>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</si>
  <si>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</si>
  <si>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2021 Mayo</t>
  </si>
  <si>
    <t>Residuos no Renovables</t>
  </si>
  <si>
    <t>Potencia instalada CIL</t>
  </si>
  <si>
    <t>Combustible</t>
  </si>
  <si>
    <t>Martes 28/12/2021 (03:03 h)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</si>
  <si>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</si>
  <si>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</si>
  <si>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</si>
  <si>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</si>
  <si>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</si>
  <si>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</si>
  <si>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</si>
  <si>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</si>
  <si>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Abril</t>
  </si>
  <si>
    <t>2022 Mayo</t>
  </si>
  <si>
    <t>2022 Febrero</t>
  </si>
  <si>
    <t>2022 Marzo</t>
  </si>
  <si>
    <t>Jueves 09/03/2023 (20:35 h)</t>
  </si>
  <si>
    <t>Producible Solar Diario (GWh)</t>
  </si>
  <si>
    <t>Producible Solar Medio 10 dia (GWh)</t>
  </si>
  <si>
    <t>Generación solar fotovoltaica diaria peninsular</t>
  </si>
  <si>
    <t>Máximos de generación de energía solar fotovoltaica peninsular</t>
  </si>
  <si>
    <t>Energía producible solar fotovoltaica comparada con el producible solar fotovoltaico medio histórico</t>
  </si>
  <si>
    <t>Producible Eólico Medio 10 años (GWh)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</si>
  <si>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</si>
  <si>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</si>
  <si>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</si>
  <si>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</si>
  <si>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</si>
  <si>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</si>
  <si>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</si>
  <si>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Entrega batería</t>
  </si>
  <si>
    <t>Carga batería</t>
  </si>
  <si>
    <t>Saldo almacenamiento</t>
  </si>
  <si>
    <t>Enero 2025</t>
  </si>
  <si>
    <t>Baterías</t>
  </si>
  <si>
    <t>Estructura de potencia instalada de generación peninsular</t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</si>
  <si>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</si>
  <si>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</si>
  <si>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</si>
  <si>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</si>
  <si>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t>Almacenamiento</t>
  </si>
  <si>
    <t>Febrero 2025</t>
  </si>
  <si>
    <t>Marzo 2025</t>
  </si>
  <si>
    <t>Abril 2025</t>
  </si>
  <si>
    <t>Balance Máx.Renov.Histórico</t>
  </si>
  <si>
    <t>Estructura de potencia instalada de almacenamiento peninsular</t>
  </si>
  <si>
    <t>Evolución de la energía de almacenamiento peninsular</t>
  </si>
  <si>
    <t>Saldo</t>
  </si>
  <si>
    <t>Balance de energía de almacenamiento peninsular</t>
  </si>
  <si>
    <t>Saldo total Peninsula</t>
  </si>
  <si>
    <t>Entregas a la red</t>
  </si>
  <si>
    <t>Estructura de energía de almacenamiento peninsular</t>
  </si>
  <si>
    <t>Tomas de la red</t>
  </si>
  <si>
    <t>Mayo 2025</t>
  </si>
  <si>
    <t>Junio 2025</t>
  </si>
  <si>
    <t>Julio 2025</t>
  </si>
  <si>
    <t>Fuel</t>
  </si>
  <si>
    <t>Turbina de Vapor</t>
  </si>
  <si>
    <t>No renovables: nuclear, carbón, turbina de vapor,  fuel/gas, ciclo combinado, cogeneración y residuos no renovables.</t>
  </si>
  <si>
    <t>Sin emisiones CO2: hidráulica, nuclear, eólica, solar fotovoltaica, solar térmica, otras renovables y residuos renovables.</t>
  </si>
  <si>
    <t>Con emisiones CO2 (%)</t>
  </si>
  <si>
    <t>Con emisiones CO2: carbón, turbina de vapor, fuel/gas, ciclo combinado, cogeneración y residuos no renovables.</t>
  </si>
  <si>
    <t>FUG</t>
  </si>
  <si>
    <t>Generación eólica/Generación (%)</t>
  </si>
  <si>
    <t>Generación eólica (GWh)</t>
  </si>
  <si>
    <t>Generación solar fotovoltaica/Generación (%)</t>
  </si>
  <si>
    <t>Generación solar fotovoltaica (GWh)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</si>
  <si>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dvis=""&gt;&lt;ci ps="BI" srv="APBI5A" prj="BDEbi" prjid="D066E1C611E6257C10D00080EF253B44" li="FUEPERRO" am="s" /&gt;&lt;lu ut="12/04/2023 18:08:50" si="2.000000019c605fabcb6f4f574e34fff9430f25b19905d2795fac065175c0f6314585eb17e8898eef4eec0d34efe79f311b4e2526d55c40e2e4881030a499be545f3fe166c9e3465c2aa88706c82b87697f28d50d9e203b774773117985956f707b884968d6a32aef5754cdf09b3a84336c146168b9895520aed9b9663242f2f6359a24628cb6ae7e070bb1ea1f1bba10e668f5ebaadf6ea45dd0d7d539cf585d4b40.p.3082.0.1.Europe/Madrid.upriv*_1*_pidn2*_9*_session*-lat*_1.00000001acc607f2c354f8ecc2592892769f3c32b5ee3e72cc1b87640ecdabd6bb3016ffd94bc02f932cff35c77ca293446ee9406a7b22ea.0000000185f3b328e47190968f8a2b01ead194eab5ee3e72bf804c5021c4041649256779b2a7de884429ac948f1d3bf06217f439feb97f9d.0.1.1.BDEbi.D066E1C611E6257C10D00080EF253B44.0-3082.1.1_-0.1.0_-3082.1.1_5.5.0.*0.000000016a987d4502ef9e2ac13c0b79d8f76ba3c911585a68388a8941dfc6627ce17f718d310216.0.23.11*.2*.0400*.31152J.e.000000019d83dd8569638adf7ba932ef642659b9c911585a6356f238b7adda154992d85dc961249a.0.10*.131*.122*.122.0.0" msgID="DFB0663C11EE92CC62F40080EF5510E9"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nrr="598" nrc="9270"&gt;&lt;pg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</si>
  <si>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Agosto 2025</t>
  </si>
  <si>
    <t>variación año anterior</t>
  </si>
  <si>
    <t>Septiembre 2025</t>
  </si>
  <si>
    <t>FUE</t>
  </si>
  <si>
    <t>Octubre 2025</t>
  </si>
  <si>
    <t>Noviembre 2025</t>
  </si>
  <si>
    <t>2025 Noviembre</t>
  </si>
  <si>
    <t>Sistema Extrapeninsular</t>
  </si>
  <si>
    <t>Potencia instalada</t>
  </si>
  <si>
    <t>2025 Junio</t>
  </si>
  <si>
    <t>2025 Julio</t>
  </si>
  <si>
    <t>2025 Agosto</t>
  </si>
  <si>
    <t>2025 Septiembre</t>
  </si>
  <si>
    <t>2025 Octubre</t>
  </si>
  <si>
    <t>Potencia autoconsumo/Potencia total</t>
  </si>
  <si>
    <t>Generación autoconsumo peninsular (GWh)</t>
  </si>
  <si>
    <t>Total GWh</t>
  </si>
  <si>
    <t>Vertida GWh</t>
  </si>
  <si>
    <t>Autoconsumida GWh</t>
  </si>
  <si>
    <t>Total %</t>
  </si>
  <si>
    <t>Generación total autoconsumo</t>
  </si>
  <si>
    <t>Autoconsumo</t>
  </si>
  <si>
    <t>Generación autoconsumo peninsular</t>
  </si>
  <si>
    <t xml:space="preserve">Evolución de la potencia instalada autoconsumo peninsular </t>
  </si>
  <si>
    <t>Potencia instalada autoconsumo peninsular porcentaje sobre total</t>
  </si>
  <si>
    <t>BEQ</t>
  </si>
  <si>
    <t>BIG</t>
  </si>
  <si>
    <t>BIM</t>
  </si>
  <si>
    <t>EOT</t>
  </si>
  <si>
    <t>HID</t>
  </si>
  <si>
    <t>SOF</t>
  </si>
  <si>
    <t>SOT</t>
  </si>
  <si>
    <t>Energia Generada MWh</t>
  </si>
  <si>
    <t>Energía autoconsumida</t>
  </si>
  <si>
    <t>Combustible Desglose Autoconsumo</t>
  </si>
  <si>
    <t>Generación total peninsular (GWh)</t>
  </si>
  <si>
    <t>Generación total</t>
  </si>
  <si>
    <t>Renovables con autoconsumo</t>
  </si>
  <si>
    <t>Diciembre 2025</t>
  </si>
  <si>
    <t>2025 Diciembre</t>
  </si>
  <si>
    <t>Comunidad Autónoma</t>
  </si>
  <si>
    <t>Isla</t>
  </si>
  <si>
    <t>Enero 2026</t>
  </si>
  <si>
    <t>Desconocido</t>
  </si>
  <si>
    <t>2026 Enero</t>
  </si>
  <si>
    <t>09/01/2026</t>
  </si>
  <si>
    <t>Febrero 2026</t>
  </si>
  <si>
    <t>2026 Febrero</t>
  </si>
  <si>
    <t>Marzo 2026</t>
  </si>
  <si>
    <t>2026 Marzo</t>
  </si>
  <si>
    <t>Abril 2026</t>
  </si>
  <si>
    <t>2026 Abril</t>
  </si>
  <si>
    <t>Mayo 2026</t>
  </si>
  <si>
    <t>2026 Mayo</t>
  </si>
  <si>
    <t>Viernes 29/05/2026 (10:41 h)</t>
  </si>
  <si>
    <t>Domingo 31/05/2026 (13:05 h)</t>
  </si>
  <si>
    <t>Junio 2026</t>
  </si>
  <si>
    <t>30/06/2026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</si>
  <si>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09:19:45"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msgID="A8426247194699E2DBAE1991D457C94C"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nrr="149"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</si>
  <si>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09:34:40"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msgID="599BF289E84DB76F5F03C8A5F10A16F1"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rows="25" cols="10" /&gt;&lt;esdo ews="" ece="" ptn="" /&gt;&lt;/excel&gt;&lt;pgs&gt;&lt;pg rows="21" cols="9" nrr="2381" nrc="1374"&gt;&lt;pg /&gt;&lt;bls&gt;&lt;bl sr="1" sc="1" rfetch="21" cfetch="9" posid="1" darows="0" dacols="1"&gt;&lt;excel&gt;&lt;epo ews="Dat_01" ece="A4" enr="MSTR.Balance_B.C._Mensual_Peninsular" ptn="" qtn="" rows="25" cols="10" /&gt;&lt;esdo ews="" ece="" ptn="" /&gt;&lt;/excel&gt;&lt;gridRng&gt;&lt;sect id="TITLE_AREA" rngprop="1:1:4:1" /&gt;&lt;sect id="ROWHEADERS_AREA" rngprop="5:1:21:1" /&gt;&lt;sect id="COLUMNHEADERS_AREA" rngprop="1:2:4:9" /&gt;&lt;sect id="DATA_AREA" rngprop="5:2:21:9" /&gt;&lt;/gridRng&gt;&lt;shapes /&gt;&lt;/bl&gt;&lt;/bls&gt;&lt;/pg&gt;&lt;/pgs&gt;&lt;/rptloc&gt;&lt;/mi&gt;</t>
  </si>
  <si>
    <t>2026 Junio</t>
  </si>
  <si>
    <t>&lt;mi app="e" ver="22"&gt;&lt;rptloc guid="94babde1e69f40dcbd280ae8afe31aaa" rank="0" ds="1"&gt;&lt;ri hasPG="1" name="Potencia instalada CIL" id="21A6D4B8449A52DF01C82DA3575DFFD4" path="Objetos públicos\Informes\Liquidaciones\Potencia instalada\Potencia instalada CIL"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ut="07/09/2026 09:46:21" si="2.0000000163205b5494b738702ea8f3a4d3684dfd9693d8c9f948b6f1b1b4001beb2cb592f8c7982fd5812f15b9dc6fa75fcff57e3429a7f85461055b906f6a2f5bd3bfe4dd43bf05aa30562d382f27e73ad2ed3e9d65583e22f5182094a25273cd94037cfaee1cd3de53ad3186ff932ddebd43dae40248cbbec0fdada497bace4a4f33a27f9142c6b8f9abcfc43ec92207574f275c693f6e9e7eeed3bf4f5c07c65db959d89c36aa6f623b2b7de4053ab34ef52fe785bac7a944036adea40d54ae8482f5515e4b284a5132589920f758aa45d593183615caa9e7a0260e3abcb2485872d143c71e1e1ce102ee97ba70d9caa728e30eaeb77f5e90a88762cd747db1500c26d5ea8dbd77b00b42995ea8443b7c97eec7d8c5517793eefb63d9dbe7a524.p-3082.0.1_-3082.0.1_0.1.Europe/Madrid.upriv*_1*_pidn2*_3*_session*-lat*_1.0000000170f8ac015fae5cdc54d06cce6e685585bc6025e09519425054548775edd3fb4cff92a0026bab2d1a93467bcc97b68e9a70ac3c0a.000000019c3c0010d523f0986ff7e0f3d8498260bc6025e016611ac54c73fc925120ce61eab00e92cc5b1d9d74b84db1a30d90262e0146fe.0.1.1.SIOSbi.80652F57504C7F8E3D7CF2B0B09EA47F.0-3082.1.1_-0.1.0_-3082.1.1_5.5.0.*0.00000001114e2652ef764e90e804401b318fa3a4c911585ac61e1f748fc99c5c1596e79610ef6603.0.23.11*.4*.1200*.00787J.e.000000014cae92efe198a4b738225cde2023fe04c911585aafe325391cd249e8e70ea050ac78eea2.0.10*.131*.138*.18.*0.0.0.0" msgID="F45E6461374A4DBFA79D00AF6AEF2C69"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ece="L1" enr="MSTR.Potencia_instalada_CIL" ptn="" qtn="" rows="22" cols="2" /&gt;&lt;esdo ews="" ece="" ptn="" /&gt;&lt;/excel&gt;&lt;pgs&gt;&lt;pg rows="16" cols="1" nrr="128" nrc="8"&gt;&lt;pg&gt;&lt;attEl aeid="BB:771DC27940DB47705168CFB03E3D5ADD:1:2:0:2:1:3:0:Península" aedn="Península" aen="Sistema Extrapeninsular" /&gt;&lt;attEl aeid="DF:27DA67CB4B1BB6BB3A2DD99722F9B689:1" aedn="Total" aen="Comunidad Autónoma" /&gt;&lt;attEl aeid="DB:095676F74D2E96A1626319BDD6137878:1" aedn="Total" aen="Isla" /&gt;&lt;/pg&gt;&lt;bls&gt;&lt;bl sr="1" sc="1" rfetch="16" cfetch="1" posid="1" darows="3" dacols="1"&gt;&lt;excel&gt;&lt;epo ews="Dat_01" ece="L1" enr="MSTR.Potencia_instalada_CIL" ptn="" qtn="" rows="22" cols="2" /&gt;&lt;esdo ews="" ece="" ptn="" /&gt;&lt;/excel&gt;&lt;gridRng&gt;&lt;sect id="TITLE_AREA" rngprop="1:1:3:1" /&gt;&lt;sect id="ROWHEADERS_AREA" rngprop="4:1:16:1" /&gt;&lt;sect id="COLUMNHEADERS_AREA" rngprop="1:2:3:1" /&gt;&lt;sect id="DATA_AREA" rngprop="4:2:16:1" /&gt;&lt;/gridRng&gt;&lt;shapes /&gt;&lt;/bl&gt;&lt;/bls&gt;&lt;/pg&gt;&lt;/pgs&gt;&lt;/rptloc&gt;&lt;/mi&gt;</t>
  </si>
  <si>
    <t>29/06/2026</t>
  </si>
  <si>
    <t>&lt;mi app="e" ver="22"&gt;&lt;rptloc guid="529e5c846d334b2baa85f8e8504cbfe7" rank="0" ds="1"&gt;&lt;ri hasPG="0" name="Balance. Día máx generación renovable. Mes" id="0F494B724409784499DFCA9E2F628FB0" path="Objetos públicos\Informes\Informes macros\Consejo\Balance. Día máx generación renovable. Mes"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09:47:17"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msgID="A39326DAC6429E4E74FC2EBCB62A555A"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ece="A67" enr="MSTR.Balance._Día_máx_generación_renovable._Mes" ptn="" qtn="" rows="24" cols="2" /&gt;&lt;esdo ews="" ece="" ptn="" /&gt;&lt;/excel&gt;&lt;pgs&gt;&lt;pg rows="21" cols="1" nrr="330" nrc="16"&gt;&lt;pg /&gt;&lt;bls&gt;&lt;bl sr="1" sc="1" rfetch="21" cfetch="1" posid="1" darows="0" dacols="1"&gt;&lt;excel&gt;&lt;epo ews="Dat_01" ece="A67" enr="MSTR.Balance._Día_máx_generación_renovable._Mes" ptn="" qtn="" rows="24" cols="2" /&gt;&lt;esdo ews="" ece="" ptn="" /&gt;&lt;/excel&gt;&lt;gridRng&gt;&lt;sect id="TITLE_AREA" rngprop="1:1:3:1" /&gt;&lt;sect id="ROWHEADERS_AREA" rngprop="4:1:21:1" /&gt;&lt;sect id="COLUMNHEADERS_AREA" rngprop="1:2:3:1" /&gt;&lt;sect id="DATA_AREA" rngprop="4:2:21:1" /&gt;&lt;/gridRng&gt;&lt;shapes /&gt;&lt;/bl&gt;&lt;/bls&gt;&lt;/pg&gt;&lt;/pgs&gt;&lt;/rptloc&gt;&lt;/mi&gt;</t>
  </si>
  <si>
    <t>&lt;mi app="e" ver="22"&gt;&lt;rptloc guid="63ae816f42c3470cac4f70366e31d6a4" rank="0" ds="1"&gt;&lt;ri hasPG="0" name="Balance. Día máx generación renovable. Histórico" id="7DA8AE2E4189A3F3DD2220BFE17AADAC" path="Objetos públicos\Informes\Informes macros\Consejo\Balance. Día máx generación renovable. Histórico"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ut="07/09/2026 10:07:46"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msgID="75797865E74418D28FA451AF3ACFF9DD"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ece="G67" enr="MSTR.Balance._Día_máx_generación_renovable._Histórico" ptn="" qtn="" rows="24" cols="2" /&gt;&lt;esdo ews="" ece="" ptn="" /&gt;&lt;/excel&gt;&lt;pgs&gt;&lt;pg rows="21" cols="1" nrr="320" nrc="16"&gt;&lt;pg /&gt;&lt;bls&gt;&lt;bl sr="1" sc="1" rfetch="21" cfetch="1" posid="1" darows="0" dacols="1"&gt;&lt;excel&gt;&lt;epo ews="Dat_01" ece="G67" enr="MSTR.Balance._Día_máx_generación_renovable._Histórico" ptn="" qtn="" rows="24" cols="2" /&gt;&lt;esdo ews="" ece="" ptn="" /&gt;&lt;/excel&gt;&lt;gridRng&gt;&lt;sect id="TITLE_AREA" rngprop="1:1:3:1" /&gt;&lt;sect id="ROWHEADERS_AREA" rngprop="4:1:21:1" /&gt;&lt;sect id="COLUMNHEADERS_AREA" rngprop="1:2:3:1" /&gt;&lt;sect id="DATA_AREA" rngprop="4:2:21:1" /&gt;&lt;/gridRng&gt;&lt;shapes /&gt;&lt;/bl&gt;&lt;/bls&gt;&lt;/pg&gt;&lt;/pgs&gt;&lt;/rptloc&gt;&lt;/mi&gt;</t>
  </si>
  <si>
    <t>&lt;mi app="e" ver="22"&gt;&lt;rptloc guid="e56c484aa36e42a497bcfbacac849a72" rank="0" ds="1"&gt;&lt;ri hasPG="0" name="Serie Balance B.C. Mensual Peninsular" id="E61AF3854964BBD29B7553A35339E8D9" path="Objetos públicos\Informes\Informes macros\Boletín\Serie Balance B.C. Mensual Peninsular"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ut="07/09/2026 10:16:26"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msgID="5693855740434835B8F6F0A483B37E0F"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enr="MSTR.Serie_Balance_B.C._Mensual_Peninsular" ptn="" qtn="" rows="25" cols="26" /&gt;&lt;esdo ews="" ece="" ptn="" /&gt;&lt;/excel&gt;&lt;pgs&gt;&lt;pg rows="21" cols="25" nrr="369" nrc="425"&gt;&lt;pg /&gt;&lt;bls&gt;&lt;bl sr="1" sc="1" rfetch="21" cfetch="25" posid="1" darows="0" dacols="1"&gt;&lt;excel&gt;&lt;epo ews="Dat_01" ece="A118" enr="MSTR.Serie_Balance_B.C._Mensual_Peninsular" ptn="" qtn="" rows="25" cols="26" /&gt;&lt;esdo ews="" ece="" ptn="" /&gt;&lt;/excel&gt;&lt;gridRng&gt;&lt;sect id="TITLE_AREA" rngprop="1:1:4:1" /&gt;&lt;sect id="ROWHEADERS_AREA" rngprop="5:1:21:1" /&gt;&lt;sect id="COLUMNHEADERS_AREA" rngprop="1:2:4:25" /&gt;&lt;sect id="DATA_AREA" rngprop="5:2:21:25" /&gt;&lt;/gridRng&gt;&lt;shapes /&gt;&lt;/bl&gt;&lt;/bls&gt;&lt;/pg&gt;&lt;/pgs&gt;&lt;/rptloc&gt;&lt;/mi&gt;</t>
  </si>
  <si>
    <t>&lt;mi app="e" ver="22"&gt;&lt;rptloc guid="dc1825c7390746ac98b6d46339e8b3ac" rank="0" ds="1"&gt;&lt;ri hasPG="0" name="Balance B.C. Diario Peninsular" id="41519F0B41FAA38F537A41B227B45757" path="Objetos públicos\Informes\Informes macros\Boletín\Balance B.C. Diario Peninsular"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10:17:52"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msgID="43680E37D3434489DCED7C99D0ED31DE"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ece="A179" enr="MSTR.Balance_B.C._Diario_Peninsular" ptn="" qtn="" rows="35" cols="22" /&gt;&lt;esdo ews="" ece="" ptn="" /&gt;&lt;/excel&gt;&lt;pgs&gt;&lt;pg rows="30" cols="21" nrr="546" nrc="612"&gt;&lt;pg /&gt;&lt;bls&gt;&lt;bl sr="1" sc="1" rfetch="30" cfetch="21" posid="1" darows="0" dacols="1"&gt;&lt;excel&gt;&lt;epo ews="Dat_01" ece="A179" enr="MSTR.Balance_B.C._Diario_Peninsular" ptn="" qtn="" rows="35" cols="22" /&gt;&lt;esdo ews="" ece="" ptn="" /&gt;&lt;/excel&gt;&lt;gridRng&gt;&lt;sect id="TITLE_AREA" rngprop="1:1:5:1" /&gt;&lt;sect id="ROWHEADERS_AREA" rngprop="6:1:30:1" /&gt;&lt;sect id="COLUMNHEADERS_AREA" rngprop="1:2:5:21" /&gt;&lt;sect id="DATA_AREA" rngprop="6:2:30:21" /&gt;&lt;/gridRng&gt;&lt;shapes /&gt;&lt;/bl&gt;&lt;/bls&gt;&lt;/pg&gt;&lt;/pgs&gt;&lt;/rptloc&gt;&lt;/mi&gt;</t>
  </si>
  <si>
    <t>11/06/2026</t>
  </si>
  <si>
    <t>&lt;mi app="e" ver="22"&gt;&lt;rptloc guid="b7c58bb5f7b342b9a593b111f87a0fcd" rank="0" ds="1"&gt;&lt;ri hasPG="0" name="Balance B.C. Horario Eólico" id="002F08AD4EE551CE05505BAD5669B1C3" path="Objetos públicos\Informes\Informes macros\Boletín\Balance B.C. Horario Eólico"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10:18:36"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msgID="AB43BD4A84430548DD55588F302C684A"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ece="A219" enr="MSTR.Balance_B.C._Horario_Eólico" ptn="" qtn="" rows="29" cols="22" /&gt;&lt;esdo ews="" ece="" ptn="" /&gt;&lt;/excel&gt;&lt;pgs&gt;&lt;pg rows="24" cols="21" nrr="480" nrc="414"&gt;&lt;pg /&gt;&lt;bls&gt;&lt;bl sr="1" sc="1" rfetch="24" cfetch="21" posid="1" darows="0" dacols="1"&gt;&lt;excel&gt;&lt;epo ews="Dat_01" ece="A219" enr="MSTR.Balance_B.C._Horario_Eólico" ptn="" qtn="" rows="29" cols="22" /&gt;&lt;esdo ews="" ece="" ptn="" /&gt;&lt;/excel&gt;&lt;gridRng&gt;&lt;sect id="TITLE_AREA" rngprop="1:1:5:1" /&gt;&lt;sect id="ROWHEADERS_AREA" rngprop="6:1:24:1" /&gt;&lt;sect id="COLUMNHEADERS_AREA" rngprop="1:2:5:21" /&gt;&lt;sect id="DATA_AREA" rngprop="6:2:24:21" /&gt;&lt;/gridRng&gt;&lt;shapes /&gt;&lt;/bl&gt;&lt;/bls&gt;&lt;/pg&gt;&lt;/pgs&gt;&lt;/rptloc&gt;&lt;/mi&gt;</t>
  </si>
  <si>
    <t>&lt;mi app="e" ver="22"&gt;&lt;rptloc guid="f6f9c852476e4dc4a5a8e238a5c5c118"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ut="07/09/2026 10:19:43"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msgID="5E060E607C4E46CE897246A76227617D"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ece="A252" enr="MSTR.Emisiones_CO2.1" ptn="" qtn="" rows="15" cols="15" /&gt;&lt;esdo ews="" ece="" ptn="" /&gt;&lt;/excel&gt;&lt;pgs&gt;&lt;pg rows="12" cols="13" nrr="189" nrc="208"&gt;&lt;pg /&gt;&lt;bls&gt;&lt;bl sr="1" sc="1" rfetch="12" cfetch="13" posid="1" darows="0" dacols="1"&gt;&lt;excel&gt;&lt;epo ews="Dat_01" ece="A252" enr="MSTR.Emisiones_CO2.1"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</si>
  <si>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&lt;mi app="e" ver="22"&gt;&lt;rptloc guid="318159fd6e9340cc859b23f41b05accf" rank="0" ds="1"&gt;&lt;ri hasPG="0" name="Balance B.C. Mensual Nacional" id="4D2174684389F784B9923298392E9560" path="Objetos públicos\Informes\Informes macros\Consejo\Balance B.C. Mensual Nacional"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10:34:50"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msgID="E3E29AC5B8401A92ECA1F7A297A05E68"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ece="A271" enr="MSTR.Balance_B.C._Mensual_Nacional.1" ptn="" qtn="" rows="25" cols="9" /&gt;&lt;esdo ews="" ece="" ptn="" /&gt;&lt;/excel&gt;&lt;pgs&gt;&lt;pg rows="22" cols="8" nrr="393" nrc="144"&gt;&lt;pg /&gt;&lt;bls&gt;&lt;bl sr="1" sc="1" rfetch="22" cfetch="8" posid="1" darows="0" dacols="1"&gt;&lt;excel&gt;&lt;epo ews="Dat_01" ece="A271" enr="MSTR.Balance_B.C._Mensual_Nacional.1" ptn="" qtn="" rows="25" cols="9" /&gt;&lt;esdo ews="" ece="" ptn="" /&gt;&lt;/excel&gt;&lt;gridRng&gt;&lt;sect id="TITLE_AREA" rngprop="1:1:3:1" /&gt;&lt;sect id="ROWHEADERS_AREA" rngprop="4:1:22:1" /&gt;&lt;sect id="COLUMNHEADERS_AREA" rngprop="1:2:3:8" /&gt;&lt;sect id="DATA_AREA" rngprop="4:2:22:8" /&gt;&lt;/gridRng&gt;&lt;shapes /&gt;&lt;/bl&gt;&lt;/bls&gt;&lt;/pg&gt;&lt;/pgs&gt;&lt;/rptloc&gt;&lt;/mi&gt;</t>
  </si>
  <si>
    <t>&lt;mi app="e" ver="22"&gt;&lt;rptloc guid="6bf59626ab9149ff93bf71052422af0b"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ut="07/09/2026 10:37:18" si="2.000000013018e5ae3e05cb5a51d1496b416f6efc7d1b4f6ceb7f9772553d98026dc7ead6c6a2c2736abe9c56fa15ff3eeafc5e6c1a3934666dcf83cc55adeaff4d084c224fe6597f9306c184925e7c5eb47b577fb5a5d7db3f3b663a91f708af2dfb4651fa72ce3edf795b937766f5de20b8bfc06a9183054c196460cc54ef34580e6f0c53d4573a04cbfc52c0a896ab04a9812f0faf9e0bde763d162fbb0ddef698ada546da7972771f56e270ac57d6cb77e5ab15e9a7210a3b43f5fbed9fcaf00b3bda8a488deb776c7c015f73eb0662094e09c21479811e432a8c08e881cbb9fddb5721b795eee341dbe3af0c6813260fb20e35af23f68d874f7ceadf354e86545338c3e8399358abc8f5832d166a0c5060ea297c86357e16690277da8cc70103.p-3082.0.1_-3082.0.1_0.1.Europe/Madrid.upriv*_1*_pidn2*_3*_session*-lat*_1.00000001529142b34681d56362722a7a7a65f70abc6025e0c7f085c287da6decd5e6a3a04543105b4f01bbedeef5bc1628ec5ee4a5249800.00000001f927eb113c32ceec423cc3c70d48f07fbc6025e04570f5409a9243100a60426036de485a5d039b93751c267aad8923184ffebbdc.0.1.1.BDEbi.A2E2948BC74B9CF051A963A6CEDDABFA.0-3082.1.1_-0.1.0_-3082.1.1_5.5.0.*0.00000001460c53d455a2362d276d911041beb274c911585a02169ebb7e1c7c9564e0fe8f412e0084.0.23.11*.4*.1200*.00787J.e.00000001089b3bcae28261e54eddd76243eacf57c911585a6219d5a1d1166d4e4ef80c5a2718f5cf.0.10*.131*.138*.18.*0.0.0.0" msgID="2AE05A860A45F916E7B3E2B086659E15"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ece="A32" enr="MSTR.Emisiones_CO2" ptn="" qtn="" rows="15" cols="15" /&gt;&lt;esdo ews="" ece="" ptn="" /&gt;&lt;/excel&gt;&lt;pgs&gt;&lt;pg rows="12" cols="13" nrr="265" nrc="300"&gt;&lt;pg /&gt;&lt;bls&gt;&lt;bl sr="1" sc="1" rfetch="12" cfetch="13" posid="1" darows="0" dacols="1"&gt;&lt;excel&gt;&lt;epo ews="Dat_04 CONSEJO" ece="A32" enr="MSTR.Emisiones_CO2"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</si>
  <si>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Viernes 12/06/2026 (01:18 h)</t>
  </si>
  <si>
    <t>Viernes 12/06/2026 (02:00 h)</t>
  </si>
  <si>
    <t>Lunes 15/06/2026 (13:22 h)</t>
  </si>
  <si>
    <t>Sábado 06/06/2026 (14:15 h)</t>
  </si>
  <si>
    <t>&lt;mi app="e" ver="22"&gt;&lt;rptloc guid="279a9b3017464387915e7ae626e7b6ef"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11:54:37" si="2.0000000192394d88bc7c1542d6d10e2d52fc2c0964735adf1be8108f892383603a36530762327095c22c3c0ebaa2f5ed2625e7f9c9810c831e5c6b7ee8a1ddc763772983f724d1886be21854d627149292a04e428b1843539b72f6d45da5a49ad26873e264f5268bb1c44d62b4d0e22c10ac39dad13fb1bfb878944e1894cbc4e5995bced2a36d62a685c40484c10e19d0bd6d95a4f5591f2ba55f11a1c899436aa43718e6f517f9340aaa32f16be428a0b83a01d424eaec1bb0720e072ca653ccc17ce4bff41ff6088d6296ea7e26db7ad9b2822993930de3ab23087249f9b45f72625b78876d14410c6821a341e4bbe929094a595b738a57f43fd65e4cec92b862c6ae567e06cc569e5a039ef97e22bbb2e8b28b0153d81798a945740994c8a011.p-3082.0.1_-3082.0.1_0.1.Europe/Madrid.upriv*_1*_pidn2*_3*_session*-lat*_1.000000019c16c77b8614314cd080b71d53d82091bc6025e0834c507ddd3ff2332ab06aac747c68a5bd55b3acfab6035b576e9932f6c71eee.00000001f569491019e9b1dd243a0dbdcf31d0f0bc6025e015b7512696169f718d8c0428ceacf4d2b71b440906ae44ce64767fe18424f1cb.0.1.1.BDEbi.A2E2948BC74B9CF051A963A6CEDDABFA.0-3082.1.1_-0.1.0_-3082.1.1_5.5.0.*0.000000010950534ca74bb8674e1be4669d75818bc911585ad41e54b9a334cb8e1424ae307671c8a4.0.23.11*.4*.1200*.00787J.e.000000017db2277ab555e1186ea59fdaab72a81bc911585a3d601f251218fff14f792ee0d6849787.0.10*.131*.138*.18.*0.0.0.0" msgID="3C5E28D49145373D55DB2EB1841A7AE9"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ece="A1" enr="MSTR.Mes_del_informe" ptn="" qtn="" rows="2" cols="2" /&gt;&lt;esdo ews="" ece="" ptn="" /&gt;&lt;/excel&gt;&lt;pgs&gt;&lt;pg rows="1" cols="0" nrr="9" nrc="0"&gt;&lt;pg /&gt;&lt;bls&gt;&lt;bl sr="1" sc="1" rfetch="1" cfetch="0" posid="1" darows="0" dacols="1"&gt;&lt;excel&gt;&lt;epo ews="Data 6"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</si>
  <si>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guid="68cc031343f24ae4a6fa8a20ea1e0cba" rank="0" ds="1"&gt;&lt;ri hasPG="1" name="Potencia instalada Autoconsumo" id="D7FF4393754B34EF71983E9D03CDBEFD" path="Profiles\Marta Sevilla Penas (SEVPENMA)\Mis Informes\Potencia instalada Autoconsumo"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ut="07/09/2026 11:54:56" si="2.00000001816a95c5abd44737a3c589052bc00e4a0369814ba5f3a945fe14b5ec398f051196930d5f3a7fdb3a6a8efb3b0e9e5dc3a093597530ca9677d7a93f888addb3593b38368c00c2ef200524aaf1b38f78f3e04015cab70946233ac58f551971f28d8009ac7c0e2ec8bfd1cac3c3ae381e11f6384286c0d72cd6e05b52aebcdd695b13b0269a0d76b7432340485c92e0854fbdbffd7b4c6989e54130df9bb00ed9b4af5fac25e461ab0c464df25c4b5d41087aa3d0d79e77b2a1e5c681b3fedd3e000f96136751e2fc74db999ef0ef0d5243712491c4bf3403af9f362ea924edeb2bc608929b520f6f1bfaf4c4277daa638792a6cf6c3e78241f72264c3ff720bd4e03dda1d90d95dbd90bd290babad9d85e45d36dd0a23620ebdb1475e2e1ad.p-3082.0.1_-3082.0.1_0.1.Europe/Madrid.upriv*_1*_pidn2*_4*_session*-lat*_1.000000012515b2af539d3527ed7ae7a7e944246dbc6025e07ae5623dd78ecb32aaeb89ab42c00de8895c0ecfa45448f8cc7bfb165bf2334d.00000001fc6c3197e2150f0d7079787738b09167bc6025e0d4ecfdbec172cbf65eb6935bb0148ca4b95d0d9f6d9c082185dcfd51cb8314d2.0.1.1.SIOSbi.80652F57504C7F8E3D7CF2B0B09EA47F.0-3082.1.1_-0.1.0_-3082.1.1_5.5.0.*0.0000000164ef8fdc13cf41bc8a2834a7e6047672c911585ac7e98ed78ddbc39ec359fb25a70dd44d.0.23.11*.4*.1200*.00787J.e.0000000186cc67c5eb323a8a06b294dec923dc17c911585ad127921bf683f0735df2b36ca39ca70d.0.10*.131*.138*.18.*0.0.0.0" msgID="3B319E6F7D49D4F7BD319EB5BE4C8089"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ece="A4" enr="MSTR.Potencia_instalada_Autoconsumo" ptn="" qtn="" rows="14" cols="14" /&gt;&lt;esdo ews="" ece="" ptn="" /&gt;&lt;/excel&gt;&lt;pgs&gt;&lt;pg rows="10" cols="13" nrr="90" nrc="117"&gt;&lt;pg&gt;&lt;attEl aeid="BB:771DC27940DB47705168CFB03E3D5ADD:1:2:0:2:1:3:0:Península" aedn="Península" aen="Sistema Extrapeninsular" /&gt;&lt;/pg&gt;&lt;bls&gt;&lt;bl sr="1" sc="1" rfetch="10" cfetch="13" posid="1" darows="1" dacols="1"&gt;&lt;excel&gt;&lt;epo ews="Data 6" ece="A4" enr="MSTR.Potencia_instalada_Autoconsumo" ptn="" qtn="" rows="14" cols="14" /&gt;&lt;esdo ews="" ece="" ptn="" /&gt;&lt;/excel&gt;&lt;gridRng&gt;&lt;sect id="TITLE_AREA" rngprop="1:1:3:1" /&gt;&lt;sect id="ROWHEADERS_AREA" rngprop="4:1:10:1" /&gt;&lt;sect id="COLUMNHEADERS_AREA" rngprop="1:2:3:13" /&gt;&lt;sect id="DATA_AREA" rngprop="4:2:10:13" /&gt;&lt;/gridRng&gt;&lt;shapes /&gt;&lt;/bl&gt;&lt;/bls&gt;&lt;/pg&gt;&lt;/pgs&gt;&lt;/rptloc&gt;&lt;/mi&gt;</t>
  </si>
  <si>
    <t>&lt;mi app="e" ver="22"&gt;&lt;rptloc guid="dfc43ff03e714d208385cecdf43c24f2" rank="0" ds="1"&gt;&lt;ri hasPG="1" name="Potencia instalada Total" id="E4AB39FA934BEBB6CD265FAA0846B1A6" path="Profiles\Marta Sevilla Penas (SEVPENMA)\Mis Informes\Potencia instalada Total"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ut="07/09/2026 11:55:17" si="2.00000001816a95c5abd44737a3c589052bc00e4a0369814ba5f3a945fe14b5ec398f051196930d5f3a7fdb3a6a8efb3b0e9e5dc3a093597530ca9677d7a93f888addb3593b38368c00c2ef200524aaf1b38f78f3e04015cab70946233ac58f551971f28d8009ac7c0e2ec8bfd1cac3c3ae381e11f6384286c0d72cd6e05b52aebcdd695b13b0269a0d76b7432340485c92e0854fbdbffd7b4c6989e54130df9bb00ed9b4af5fac25e461ab0c464df25c4b5d41087aa3d0d79e77b2a1e5c681b3fedd3e000f96136751e2fc74db999ef0ef0d5243712491c4bf3403af9f362ea924edeb2bc608929b520f6f1bfaf4c4277daa638792a6cf6c3e78241f72264c3ff720bd4e03dda1d90d95dbd90bd290babad9d85e45d36dd0a23620ebdb1475e2e1ad.p-3082.0.1_-3082.0.1_0.1.Europe/Madrid.upriv*_1*_pidn2*_4*_session*-lat*_1.000000012515b2af539d3527ed7ae7a7e944246dbc6025e07ae5623dd78ecb32aaeb89ab42c00de8895c0ecfa45448f8cc7bfb165bf2334d.00000001fc6c3197e2150f0d7079787738b09167bc6025e0d4ecfdbec172cbf65eb6935bb0148ca4b95d0d9f6d9c082185dcfd51cb8314d2.0.1.1.SIOSbi.80652F57504C7F8E3D7CF2B0B09EA47F.0-3082.1.1_-0.1.0_-3082.1.1_5.5.0.*0.0000000164ef8fdc13cf41bc8a2834a7e6047672c911585ac7e98ed78ddbc39ec359fb25a70dd44d.0.23.11*.4*.1200*.00787J.e.0000000186cc67c5eb323a8a06b294dec923dc17c911585ad127921bf683f0735df2b36ca39ca70d.0.10*.131*.138*.18.*0.0.0.0" msgID="5DDAD4B3394A2E42FC4AC4B5115AB542"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ece="A19" enr="MSTR.Potencia_instalada_Total" ptn="" qtn="" rows="20" cols="14" /&gt;&lt;esdo ews="" ece="" ptn="" /&gt;&lt;/excel&gt;&lt;pgs&gt;&lt;pg rows="16" cols="13" nrr="144" nrc="117"&gt;&lt;pg&gt;&lt;attEl aeid="BB:771DC27940DB47705168CFB03E3D5ADD:1:2:0:2:1:3:0:Península" aedn="Península" aen="Sistema Extrapeninsular" /&gt;&lt;/pg&gt;&lt;bls&gt;&lt;bl sr="1" sc="1" rfetch="16" cfetch="13" posid="1" darows="1" dacols="1"&gt;&lt;excel&gt;&lt;epo ews="Data 6" ece="A19" enr="MSTR.Potencia_instalada_Total" ptn="" qtn="" rows="20" cols="14" /&gt;&lt;esdo ews="" ece="" ptn="" /&gt;&lt;/excel&gt;&lt;gridRng&gt;&lt;sect id="TITLE_AREA" rngprop="1:1:3:1" /&gt;&lt;sect id="ROWHEADERS_AREA" rngprop="4:1:16:1" /&gt;&lt;sect id="COLUMNHEADERS_AREA" rngprop="1:2:3:13" /&gt;&lt;sect id="DATA_AREA" rngprop="4:2:16:13" /&gt;&lt;/gridRng&gt;&lt;shapes /&gt;&lt;/bl&gt;&lt;/bls&gt;&lt;/pg&gt;&lt;/pgs&gt;&lt;/rptloc&gt;&lt;/mi&gt;</t>
  </si>
  <si>
    <t>74529a9e4cd04329abaf555cacac5e13</t>
  </si>
  <si>
    <t>&lt;mi app="e" ver="22"&gt;&lt;rptloc guid="c65ae9e345024c3e93241124bcbfc611" rank="0" ds="1"&gt;&lt;ri hasPG="1" name="Energía generada y autoconsumida" id="5BF8326B01444ECA1923D6900FE0491F" path="Profiles\Marta Sevilla Penas (SEVPENMA)\Mis Informes\Energía generada y autoconsumida"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srv="APBI6A" prj="BDEbi" prjid="A2E2948BC74B9CF051A963A6CEDDABFA" li="SEVPENMA" am="s" /&gt;&lt;lu ut="07/09/2026 17:43:45" si="2.00000001b38e4b83587e8db93b4e726998bb31c21f63d00732795f352af2135fd3b68b2e3b428fc2fb8ec1642700d23ad8c994e8f7dc5e84fc3de7ada50e3e6ab11fb49aa514fd49046f74a8c9e4bb22e138bd72b529be79246911737e1482cd59502d6fe97cb7f53dc49d9bc2b835fef51e9e1a02f28ddc84a5c99ad0b6639ba3486b6af5f604958844451af64542011cf2fc33977996cba1ece4f64e9b48af2532d16a66525cfa92ae8794f337fb8564042aaf4f14eebfda127cab9992841111b1f188f7ff7e48b2ada53d88033165dc8acc58d11fc935c4b9ff8d69009c3d26b481ff5d764a0cdda2aa8dacc57dc3a009fd72a11c469b6e56147b97409184add71b91617374cfd396add66a8b249244c960d8d86608b41c4554dbad01107839ac.p-3082.0.1_-3082.0.1_0.1.Europe/Madrid.upriv*_1*_pidn2*_3*_session*-lat*_1.000000016dac4042ff58d05c5e2e07aa9ccb9ea4bc6025e0e7b9846ba4668be79141c355906219fbdc1b257fc1ad01d57efe9cb3f04df1c4.00000001de797b4847cf3c1c181fa06274d3c499bc6025e0ecd5449096cafdd58aefb2c5bc0a854504651765e992538d617dc6520c678e6e.0.1.1.BDEbi.A2E2948BC74B9CF051A963A6CEDDABFA.0-3082.1.1_-0.1.0_-3082.1.1_5.5.0.*0.000000017f764ee92e44b1b803717b50d7ccbb11c911585ad5730af6af6120ab8877d4afb765079d.0.23.11*.4*.1200*.00787J.e.00000001aad16ea4ec663e7c7735b262227ba6aac911585a968bea59cb06afdb124ece972e06c2bd.0.10*.131*.138*.18.*0.0.0.0" msgID="A37CFF670344C2182BDD7E8304688C18"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ece="A45" enr="MSTR.Energía_generada_y_autoconsumida" ptn="" qtn="" rows="17" cols="3" /&gt;&lt;esdo ews="" ece="" ptn="" /&gt;&lt;/excel&gt;&lt;pgs&gt;&lt;pg rows="13" cols="2" nrr="117" nrc="18"&gt;&lt;pg&gt;&lt;attEl aeid="BB:5EAE1F1D48ED4011B00BAC90762C13F0:1:2:0:2:1:3:1:Península" aedn="Península" aen="Sistema Eléctrico" /&gt;&lt;/pg&gt;&lt;bls&gt;&lt;bl sr="1" sc="1" rfetch="13" cfetch="2" posid="1" darows="1" dacols="1"&gt;&lt;excel&gt;&lt;epo ews="Data 6" ece="A45" enr="MSTR.Energía_generada_y_autoconsumida" ptn="" qtn="" rows="17" cols="3" /&gt;&lt;esdo ews="" ece="" ptn="" /&gt;&lt;/excel&gt;&lt;gridRng&gt;&lt;sect id="TITLE_AREA" rngprop="1:1:3:1" /&gt;&lt;sect id="ROWHEADERS_AREA" rngprop="4:1:13:1" /&gt;&lt;sect id="COLUMNHEADERS_AREA" rngprop="1:2:3:2" /&gt;&lt;sect id="DATA_AREA" rngprop="4:2:13:2" /&gt;&lt;/gridRng&gt;&lt;shapes /&gt;&lt;/bl&gt;&lt;/bls&gt;&lt;/pg&gt;&lt;/pgs&gt;&lt;/rptloc&gt;&lt;/mi&gt;</t>
  </si>
  <si>
    <t>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</si>
</sst>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  <numFmt numFmtId="182" formatCode="0.00_)"/>
    <numFmt numFmtId="183" formatCode="#,##0;\(#,##0\)"/>
    <numFmt numFmtId="184" formatCode="0.0000_)"/>
  </numFmts>
  <fonts count="8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8"/>
      <color theme="1"/>
      <name val="Segoe UI"/>
      <family val="2"/>
    </font>
    <font>
      <b/>
      <sz val="10"/>
      <name val="Geneva"/>
    </font>
  </fonts>
  <fills count="1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8192AD"/>
      </patternFill>
    </fill>
    <fill>
      <patternFill patternType="solid">
        <f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74">
    <xf numFmtId="165" fontId="0" fillId="0" borderId="0"/>
    <xf numFmtId="0" fontId="7" fillId="0" borderId="0"/>
    <xf numFmtId="0" fontId="7" fillId="0" borderId="0"/>
    <xf numFmtId="0" fontId="7" fillId="0" borderId="0"/>
    <xf numFmtId="165" fontId="11" fillId="0" borderId="0"/>
    <xf numFmtId="0" fontId="11" fillId="0" borderId="0"/>
    <xf numFmtId="0" fontId="7" fillId="0" borderId="0"/>
    <xf numFmtId="165" fontId="11" fillId="0" borderId="0"/>
    <xf numFmtId="0" fontId="11" fillId="0" borderId="0"/>
    <xf numFmtId="0" fontId="23" fillId="0" borderId="0"/>
    <xf numFmtId="0" fontId="25" fillId="0" borderId="0" applyNumberFormat="0" applyFont="0" applyBorder="0" applyAlignment="0" applyProtection="0">
      <alignment horizontal="centerContinuous"/>
    </xf>
    <xf numFmtId="0" fontId="7" fillId="0" borderId="0"/>
    <xf numFmtId="0" fontId="6" fillId="0" borderId="0"/>
    <xf numFmtId="9" fontId="11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7" fontId="48" fillId="4" borderId="13">
      <alignment horizontal="right" vertical="center"/>
    </xf>
    <xf numFmtId="167" fontId="49" fillId="5" borderId="13">
      <alignment horizontal="right" vertical="center"/>
    </xf>
    <xf numFmtId="165" fontId="50" fillId="6" borderId="13">
      <alignment vertical="center" wrapText="1"/>
    </xf>
    <xf numFmtId="10" fontId="49" fillId="5" borderId="13">
      <alignment horizontal="right" vertical="center"/>
    </xf>
    <xf numFmtId="167" fontId="51" fillId="4" borderId="13">
      <alignment horizontal="right" vertical="center"/>
    </xf>
    <xf numFmtId="10" fontId="51" fillId="4" borderId="13">
      <alignment horizontal="right" vertical="center"/>
    </xf>
    <xf numFmtId="165" fontId="52" fillId="4" borderId="13">
      <alignment horizontal="left" vertical="center" wrapText="1"/>
    </xf>
    <xf numFmtId="165" fontId="50" fillId="6" borderId="13">
      <alignment horizontal="center" vertical="center" wrapText="1"/>
    </xf>
    <xf numFmtId="165" fontId="53" fillId="5" borderId="13">
      <alignment horizontal="left" vertical="center" wrapText="1"/>
    </xf>
    <xf numFmtId="165" fontId="50" fillId="6" borderId="13">
      <alignment horizontal="center" wrapText="1"/>
    </xf>
    <xf numFmtId="165" fontId="50" fillId="6" borderId="16">
      <alignment vertical="center" wrapText="1"/>
    </xf>
    <xf numFmtId="167" fontId="56" fillId="4" borderId="13">
      <alignment horizontal="right" vertical="center"/>
    </xf>
    <xf numFmtId="167" fontId="57" fillId="4" borderId="13">
      <alignment horizontal="right" vertical="center"/>
    </xf>
    <xf numFmtId="165" fontId="50" fillId="5" borderId="13">
      <alignment horizontal="center" wrapText="1"/>
    </xf>
    <xf numFmtId="165" fontId="52" fillId="4" borderId="16">
      <alignment horizontal="left" vertical="center" wrapText="1"/>
    </xf>
    <xf numFmtId="168" fontId="49" fillId="5" borderId="13">
      <alignment horizontal="right" vertical="center"/>
    </xf>
    <xf numFmtId="0" fontId="11" fillId="0" borderId="0"/>
    <xf numFmtId="0" fontId="11" fillId="0" borderId="0"/>
    <xf numFmtId="0" fontId="11" fillId="0" borderId="0"/>
    <xf numFmtId="165" fontId="68" fillId="12" borderId="13">
      <alignment horizontal="center" wrapText="1"/>
    </xf>
    <xf numFmtId="179" fontId="21" fillId="4" borderId="13">
      <alignment horizontal="right" vertical="center"/>
    </xf>
    <xf numFmtId="165" fontId="68" fillId="12" borderId="13">
      <alignment vertical="center" wrapText="1"/>
    </xf>
    <xf numFmtId="165" fontId="69" fillId="4" borderId="13">
      <alignment horizontal="left" vertical="center" wrapText="1"/>
    </xf>
    <xf numFmtId="179" fontId="68" fillId="12" borderId="13">
      <alignment horizontal="right" vertical="center"/>
    </xf>
    <xf numFmtId="165" fontId="68" fillId="12" borderId="13">
      <alignment horizontal="left" vertical="center"/>
    </xf>
    <xf numFmtId="168" fontId="21" fillId="4" borderId="13">
      <alignment horizontal="right" vertical="center"/>
    </xf>
    <xf numFmtId="10" fontId="51" fillId="4" borderId="15">
      <alignment horizontal="right" vertical="center"/>
    </xf>
    <xf numFmtId="0" fontId="5" fillId="0" borderId="0"/>
    <xf numFmtId="165" fontId="72" fillId="17" borderId="13">
      <alignment vertical="center" wrapText="1"/>
    </xf>
    <xf numFmtId="165" fontId="72" fillId="12" borderId="13">
      <alignment horizontal="left" vertical="center"/>
    </xf>
    <xf numFmtId="165" fontId="72" fillId="17" borderId="13">
      <alignment horizontal="center" wrapText="1"/>
    </xf>
    <xf numFmtId="168" fontId="72" fillId="12" borderId="13">
      <alignment horizontal="right" vertical="center"/>
    </xf>
    <xf numFmtId="165" fontId="50" fillId="6" borderId="13">
      <alignment vertical="center" wrapText="1"/>
    </xf>
    <xf numFmtId="165" fontId="50" fillId="6" borderId="13">
      <alignment horizontal="center" wrapText="1"/>
    </xf>
    <xf numFmtId="165" fontId="52" fillId="4" borderId="13">
      <alignment horizontal="left" vertical="center" wrapText="1"/>
    </xf>
    <xf numFmtId="168" fontId="51" fillId="4" borderId="13">
      <alignment horizontal="right" vertical="center"/>
    </xf>
    <xf numFmtId="165" fontId="53" fillId="5" borderId="13">
      <alignment horizontal="left" vertical="center" wrapText="1"/>
    </xf>
    <xf numFmtId="10" fontId="49" fillId="5" borderId="13">
      <alignment horizontal="right" vertical="center"/>
    </xf>
    <xf numFmtId="0" fontId="4" fillId="0" borderId="0"/>
    <xf numFmtId="0" fontId="1" fillId="0" borderId="0"/>
    <xf numFmtId="0" fontId="50" fillId="6" borderId="13">
      <alignment horizontal="center" wrapText="1"/>
    </xf>
    <xf numFmtId="0" fontId="50" fillId="6" borderId="13">
      <alignment horizontal="center" vertical="center" wrapText="1"/>
    </xf>
    <xf numFmtId="10" fontId="51" fillId="4" borderId="13">
      <alignment horizontal="right" vertical="center"/>
    </xf>
    <xf numFmtId="0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  <xf numFmtId="0" fontId="75" fillId="0" borderId="0"/>
    <xf numFmtId="0" fontId="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77" fillId="0" borderId="0"/>
    <xf numFmtId="183" fontId="21" fillId="4" borderId="13">
      <alignment horizontal="right" vertical="center"/>
    </xf>
    <xf numFmtId="165" fontId="54" fillId="18" borderId="16"/>
  </cellStyleXfs>
  <cellXfs count="360">
    <xf numFmtId="165" fontId="0" fillId="0" borderId="0" xfId="0"/>
    <xf numFmtId="0" fontId="8" fillId="0" borderId="0" xfId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9" fillId="0" borderId="0" xfId="3" applyFont="1" applyAlignment="1">
      <alignment horizontal="left"/>
    </xf>
    <xf numFmtId="165" fontId="11" fillId="0" borderId="0" xfId="4"/>
    <xf numFmtId="165" fontId="8" fillId="0" borderId="0" xfId="4" applyFont="1" applyAlignment="1">
      <alignment horizontal="right"/>
    </xf>
    <xf numFmtId="165" fontId="12" fillId="0" borderId="0" xfId="4" applyFont="1"/>
    <xf numFmtId="165" fontId="13" fillId="0" borderId="0" xfId="4" applyFont="1"/>
    <xf numFmtId="165" fontId="14" fillId="0" borderId="0" xfId="4" applyFont="1"/>
    <xf numFmtId="165" fontId="9" fillId="0" borderId="0" xfId="4" applyFont="1"/>
    <xf numFmtId="165" fontId="9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indent="1"/>
    </xf>
    <xf numFmtId="165" fontId="15" fillId="3" borderId="0" xfId="4" applyFont="1" applyFill="1" applyAlignment="1">
      <alignment horizontal="left"/>
    </xf>
    <xf numFmtId="167" fontId="17" fillId="3" borderId="1" xfId="4" applyNumberFormat="1" applyFont="1" applyFill="1" applyBorder="1"/>
    <xf numFmtId="1" fontId="15" fillId="3" borderId="1" xfId="4" applyNumberFormat="1" applyFont="1" applyFill="1" applyBorder="1" applyAlignment="1">
      <alignment horizontal="right" indent="1"/>
    </xf>
    <xf numFmtId="167" fontId="18" fillId="0" borderId="0" xfId="4" applyNumberFormat="1" applyFont="1"/>
    <xf numFmtId="167" fontId="19" fillId="0" borderId="0" xfId="4" applyNumberFormat="1" applyFont="1"/>
    <xf numFmtId="165" fontId="9" fillId="0" borderId="0" xfId="4" applyFont="1" applyAlignment="1">
      <alignment vertical="top" wrapText="1"/>
    </xf>
    <xf numFmtId="168" fontId="7" fillId="0" borderId="0" xfId="4" applyNumberFormat="1" applyFont="1"/>
    <xf numFmtId="165" fontId="10" fillId="0" borderId="0" xfId="4" applyFont="1"/>
    <xf numFmtId="167" fontId="20" fillId="0" borderId="0" xfId="4" applyNumberFormat="1" applyFont="1"/>
    <xf numFmtId="3" fontId="19" fillId="0" borderId="0" xfId="4" applyNumberFormat="1" applyFont="1"/>
    <xf numFmtId="3" fontId="20" fillId="0" borderId="0" xfId="4" applyNumberFormat="1" applyFont="1"/>
    <xf numFmtId="165" fontId="8" fillId="0" borderId="0" xfId="4" applyFont="1"/>
    <xf numFmtId="1" fontId="15" fillId="3" borderId="1" xfId="4" quotePrefix="1" applyNumberFormat="1" applyFont="1" applyFill="1" applyBorder="1" applyAlignment="1">
      <alignment horizontal="right" indent="1"/>
    </xf>
    <xf numFmtId="0" fontId="7" fillId="0" borderId="0" xfId="6"/>
    <xf numFmtId="165" fontId="8" fillId="0" borderId="0" xfId="7" applyFont="1" applyAlignment="1">
      <alignment horizontal="right"/>
    </xf>
    <xf numFmtId="0" fontId="13" fillId="0" borderId="0" xfId="6" applyFont="1"/>
    <xf numFmtId="0" fontId="12" fillId="0" borderId="0" xfId="6" applyFont="1"/>
    <xf numFmtId="0" fontId="9" fillId="0" borderId="0" xfId="6" applyFont="1"/>
    <xf numFmtId="0" fontId="9" fillId="0" borderId="0" xfId="6" applyFont="1" applyAlignment="1">
      <alignment horizontal="left" vertical="center" indent="1"/>
    </xf>
    <xf numFmtId="0" fontId="12" fillId="0" borderId="0" xfId="6" applyFont="1" applyAlignment="1">
      <alignment horizontal="left" indent="1"/>
    </xf>
    <xf numFmtId="0" fontId="10" fillId="0" borderId="0" xfId="6" applyFont="1"/>
    <xf numFmtId="0" fontId="9" fillId="0" borderId="0" xfId="8" applyFont="1" applyAlignment="1">
      <alignment vertical="center"/>
    </xf>
    <xf numFmtId="0" fontId="10" fillId="0" borderId="0" xfId="6" applyFont="1" applyAlignment="1">
      <alignment horizontal="left" vertical="top"/>
    </xf>
    <xf numFmtId="0" fontId="22" fillId="0" borderId="0" xfId="6" applyFont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justify" vertical="center" wrapText="1"/>
    </xf>
    <xf numFmtId="0" fontId="9" fillId="0" borderId="0" xfId="6" applyFont="1" applyAlignment="1">
      <alignment horizontal="left"/>
    </xf>
    <xf numFmtId="0" fontId="9" fillId="0" borderId="0" xfId="6" applyFont="1" applyAlignment="1">
      <alignment vertical="top" wrapText="1"/>
    </xf>
    <xf numFmtId="165" fontId="21" fillId="0" borderId="0" xfId="7" applyFont="1" applyAlignment="1">
      <alignment horizontal="left" readingOrder="1"/>
    </xf>
    <xf numFmtId="0" fontId="0" fillId="0" borderId="0" xfId="0" applyNumberFormat="1"/>
    <xf numFmtId="0" fontId="9" fillId="0" borderId="0" xfId="2" applyFont="1" applyAlignment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4" fillId="0" borderId="0" xfId="0" applyNumberFormat="1" applyFont="1"/>
    <xf numFmtId="165" fontId="0" fillId="0" borderId="0" xfId="0" applyAlignment="1">
      <alignment wrapText="1"/>
    </xf>
    <xf numFmtId="0" fontId="26" fillId="0" borderId="0" xfId="11" applyFont="1"/>
    <xf numFmtId="1" fontId="27" fillId="0" borderId="0" xfId="11" applyNumberFormat="1" applyFont="1"/>
    <xf numFmtId="0" fontId="28" fillId="0" borderId="0" xfId="11" applyFont="1"/>
    <xf numFmtId="0" fontId="29" fillId="0" borderId="0" xfId="11" applyFont="1"/>
    <xf numFmtId="1" fontId="26" fillId="0" borderId="0" xfId="11" applyNumberFormat="1" applyFont="1"/>
    <xf numFmtId="168" fontId="26" fillId="0" borderId="0" xfId="11" applyNumberFormat="1" applyFont="1"/>
    <xf numFmtId="173" fontId="26" fillId="0" borderId="0" xfId="11" applyNumberFormat="1" applyFont="1"/>
    <xf numFmtId="4" fontId="26" fillId="0" borderId="0" xfId="11" applyNumberFormat="1" applyFont="1"/>
    <xf numFmtId="171" fontId="26" fillId="0" borderId="0" xfId="11" applyNumberFormat="1" applyFont="1"/>
    <xf numFmtId="1" fontId="30" fillId="0" borderId="0" xfId="11" applyNumberFormat="1" applyFont="1"/>
    <xf numFmtId="170" fontId="30" fillId="0" borderId="0" xfId="11" applyNumberFormat="1" applyFont="1"/>
    <xf numFmtId="171" fontId="30" fillId="0" borderId="0" xfId="11" applyNumberFormat="1" applyFont="1"/>
    <xf numFmtId="0" fontId="30" fillId="0" borderId="0" xfId="11" applyFont="1" applyAlignment="1">
      <alignment horizontal="right"/>
    </xf>
    <xf numFmtId="172" fontId="30" fillId="0" borderId="0" xfId="11" applyNumberFormat="1" applyFont="1"/>
    <xf numFmtId="176" fontId="26" fillId="0" borderId="0" xfId="11" applyNumberFormat="1" applyFont="1"/>
    <xf numFmtId="0" fontId="31" fillId="0" borderId="0" xfId="12" applyFont="1" applyAlignment="1">
      <alignment horizontal="left" vertical="top" wrapText="1"/>
    </xf>
    <xf numFmtId="0" fontId="32" fillId="0" borderId="0" xfId="11" applyFont="1"/>
    <xf numFmtId="171" fontId="32" fillId="0" borderId="0" xfId="11" applyNumberFormat="1" applyFont="1"/>
    <xf numFmtId="175" fontId="32" fillId="0" borderId="0" xfId="11" applyNumberFormat="1" applyFont="1" applyAlignment="1">
      <alignment horizontal="right"/>
    </xf>
    <xf numFmtId="0" fontId="11" fillId="0" borderId="0" xfId="8"/>
    <xf numFmtId="0" fontId="34" fillId="0" borderId="0" xfId="8" applyFont="1"/>
    <xf numFmtId="0" fontId="35" fillId="0" borderId="0" xfId="8" applyFont="1"/>
    <xf numFmtId="0" fontId="9" fillId="0" borderId="0" xfId="8" applyFont="1"/>
    <xf numFmtId="0" fontId="9" fillId="0" borderId="0" xfId="8" applyFont="1" applyAlignment="1">
      <alignment horizontal="left" vertical="center" indent="1"/>
    </xf>
    <xf numFmtId="0" fontId="35" fillId="0" borderId="0" xfId="8" applyFont="1" applyAlignment="1">
      <alignment horizontal="left" indent="1"/>
    </xf>
    <xf numFmtId="0" fontId="9" fillId="2" borderId="0" xfId="8" applyFont="1" applyFill="1" applyAlignment="1">
      <alignment horizontal="left"/>
    </xf>
    <xf numFmtId="0" fontId="23" fillId="0" borderId="0" xfId="14" applyAlignment="1">
      <alignment horizontal="center"/>
    </xf>
    <xf numFmtId="0" fontId="23" fillId="0" borderId="0" xfId="14" applyAlignment="1">
      <alignment horizontal="right"/>
    </xf>
    <xf numFmtId="171" fontId="23" fillId="0" borderId="0" xfId="14" applyNumberFormat="1"/>
    <xf numFmtId="0" fontId="35" fillId="2" borderId="0" xfId="8" applyFont="1" applyFill="1" applyAlignment="1">
      <alignment horizontal="left" indent="1"/>
    </xf>
    <xf numFmtId="3" fontId="23" fillId="0" borderId="0" xfId="8" applyNumberFormat="1" applyFont="1"/>
    <xf numFmtId="0" fontId="23" fillId="0" borderId="0" xfId="8" applyFont="1"/>
    <xf numFmtId="0" fontId="11" fillId="2" borderId="0" xfId="8" applyFill="1"/>
    <xf numFmtId="0" fontId="36" fillId="0" borderId="0" xfId="8" applyFont="1"/>
    <xf numFmtId="1" fontId="36" fillId="0" borderId="0" xfId="8" applyNumberFormat="1" applyFont="1"/>
    <xf numFmtId="0" fontId="9" fillId="0" borderId="0" xfId="8" applyFont="1" applyAlignment="1">
      <alignment vertical="top" wrapText="1"/>
    </xf>
    <xf numFmtId="1" fontId="38" fillId="2" borderId="6" xfId="4" applyNumberFormat="1" applyFont="1" applyFill="1" applyBorder="1" applyAlignment="1">
      <alignment horizontal="right" indent="1"/>
    </xf>
    <xf numFmtId="165" fontId="20" fillId="2" borderId="0" xfId="4" applyFont="1" applyFill="1" applyAlignment="1">
      <alignment horizontal="left"/>
    </xf>
    <xf numFmtId="3" fontId="20" fillId="2" borderId="0" xfId="4" applyNumberFormat="1" applyFont="1" applyFill="1" applyAlignment="1">
      <alignment horizontal="right" indent="1"/>
    </xf>
    <xf numFmtId="167" fontId="20" fillId="2" borderId="0" xfId="4" applyNumberFormat="1" applyFont="1" applyFill="1" applyAlignment="1">
      <alignment horizontal="right" indent="1"/>
    </xf>
    <xf numFmtId="167" fontId="38" fillId="2" borderId="2" xfId="4" applyNumberFormat="1" applyFont="1" applyFill="1" applyBorder="1"/>
    <xf numFmtId="3" fontId="38" fillId="2" borderId="2" xfId="4" applyNumberFormat="1" applyFont="1" applyFill="1" applyBorder="1" applyAlignment="1">
      <alignment horizontal="right" indent="1"/>
    </xf>
    <xf numFmtId="167" fontId="38" fillId="2" borderId="2" xfId="4" applyNumberFormat="1" applyFont="1" applyFill="1" applyBorder="1" applyAlignment="1">
      <alignment horizontal="right" indent="1"/>
    </xf>
    <xf numFmtId="167" fontId="20" fillId="2" borderId="0" xfId="4" applyNumberFormat="1" applyFont="1" applyFill="1" applyAlignment="1">
      <alignment horizontal="left"/>
    </xf>
    <xf numFmtId="3" fontId="20" fillId="2" borderId="2" xfId="4" applyNumberFormat="1" applyFont="1" applyFill="1" applyBorder="1" applyAlignment="1">
      <alignment horizontal="right" indent="1"/>
    </xf>
    <xf numFmtId="167" fontId="20" fillId="2" borderId="2" xfId="4" applyNumberFormat="1" applyFont="1" applyFill="1" applyBorder="1" applyAlignment="1">
      <alignment horizontal="right" indent="1"/>
    </xf>
    <xf numFmtId="167" fontId="38" fillId="2" borderId="3" xfId="4" applyNumberFormat="1" applyFont="1" applyFill="1" applyBorder="1"/>
    <xf numFmtId="3" fontId="38" fillId="2" borderId="4" xfId="4" applyNumberFormat="1" applyFont="1" applyFill="1" applyBorder="1" applyAlignment="1">
      <alignment horizontal="right" indent="1"/>
    </xf>
    <xf numFmtId="167" fontId="38" fillId="2" borderId="4" xfId="4" applyNumberFormat="1" applyFont="1" applyFill="1" applyBorder="1" applyAlignment="1">
      <alignment horizontal="right" indent="1"/>
    </xf>
    <xf numFmtId="165" fontId="41" fillId="0" borderId="0" xfId="0" applyFont="1"/>
    <xf numFmtId="0" fontId="41" fillId="0" borderId="0" xfId="1" applyFont="1" applyAlignment="1">
      <alignment horizontal="right"/>
    </xf>
    <xf numFmtId="165" fontId="41" fillId="0" borderId="0" xfId="0" quotePrefix="1" applyFont="1" applyAlignment="1">
      <alignment horizontal="right"/>
    </xf>
    <xf numFmtId="165" fontId="38" fillId="0" borderId="0" xfId="0" applyFont="1"/>
    <xf numFmtId="165" fontId="20" fillId="2" borderId="6" xfId="0" applyFont="1" applyFill="1" applyBorder="1" applyAlignment="1">
      <alignment horizontal="left"/>
    </xf>
    <xf numFmtId="165" fontId="20" fillId="0" borderId="0" xfId="0" applyFont="1"/>
    <xf numFmtId="0" fontId="20" fillId="2" borderId="0" xfId="0" applyNumberFormat="1" applyFont="1" applyFill="1" applyAlignment="1">
      <alignment horizontal="left"/>
    </xf>
    <xf numFmtId="167" fontId="20" fillId="2" borderId="0" xfId="9" applyNumberFormat="1" applyFont="1" applyFill="1" applyAlignment="1">
      <alignment horizontal="right" indent="1"/>
    </xf>
    <xf numFmtId="165" fontId="38" fillId="2" borderId="6" xfId="0" applyFont="1" applyFill="1" applyBorder="1" applyAlignment="1">
      <alignment horizontal="left"/>
    </xf>
    <xf numFmtId="167" fontId="38" fillId="2" borderId="6" xfId="9" applyNumberFormat="1" applyFont="1" applyFill="1" applyBorder="1" applyAlignment="1">
      <alignment horizontal="right" indent="1"/>
    </xf>
    <xf numFmtId="165" fontId="41" fillId="0" borderId="0" xfId="0" applyFont="1" applyAlignment="1">
      <alignment horizontal="right"/>
    </xf>
    <xf numFmtId="165" fontId="20" fillId="0" borderId="0" xfId="7" applyFont="1" applyAlignment="1">
      <alignment horizontal="left" readingOrder="1"/>
    </xf>
    <xf numFmtId="0" fontId="38" fillId="2" borderId="0" xfId="10" applyNumberFormat="1" applyFont="1" applyFill="1" applyBorder="1" applyAlignment="1">
      <alignment vertical="center"/>
    </xf>
    <xf numFmtId="165" fontId="38" fillId="0" borderId="0" xfId="0" applyFont="1" applyAlignment="1">
      <alignment horizontal="left" vertical="center" wrapText="1" readingOrder="1"/>
    </xf>
    <xf numFmtId="165" fontId="38" fillId="0" borderId="9" xfId="0" applyFont="1" applyBorder="1" applyAlignment="1">
      <alignment horizontal="left" vertical="center" wrapText="1" readingOrder="1"/>
    </xf>
    <xf numFmtId="0" fontId="38" fillId="0" borderId="0" xfId="2" applyFont="1" applyAlignment="1">
      <alignment vertical="top" wrapText="1"/>
    </xf>
    <xf numFmtId="165" fontId="20" fillId="0" borderId="1" xfId="0" applyFont="1" applyBorder="1"/>
    <xf numFmtId="165" fontId="38" fillId="2" borderId="0" xfId="0" applyFont="1" applyFill="1"/>
    <xf numFmtId="165" fontId="38" fillId="2" borderId="1" xfId="0" applyFont="1" applyFill="1" applyBorder="1"/>
    <xf numFmtId="165" fontId="38" fillId="2" borderId="1" xfId="0" applyFont="1" applyFill="1" applyBorder="1" applyAlignment="1">
      <alignment horizontal="right"/>
    </xf>
    <xf numFmtId="165" fontId="38" fillId="2" borderId="1" xfId="0" applyFont="1" applyFill="1" applyBorder="1" applyAlignment="1">
      <alignment horizontal="right" wrapText="1"/>
    </xf>
    <xf numFmtId="165" fontId="20" fillId="2" borderId="0" xfId="0" applyFont="1" applyFill="1"/>
    <xf numFmtId="3" fontId="20" fillId="2" borderId="0" xfId="0" applyNumberFormat="1" applyFont="1" applyFill="1" applyAlignment="1">
      <alignment horizontal="right" vertical="center"/>
    </xf>
    <xf numFmtId="3" fontId="38" fillId="2" borderId="1" xfId="0" applyNumberFormat="1" applyFont="1" applyFill="1" applyBorder="1"/>
    <xf numFmtId="3" fontId="20" fillId="2" borderId="0" xfId="9" applyNumberFormat="1" applyFont="1" applyFill="1" applyAlignment="1">
      <alignment horizontal="right" indent="1"/>
    </xf>
    <xf numFmtId="3" fontId="38" fillId="2" borderId="6" xfId="9" applyNumberFormat="1" applyFont="1" applyFill="1" applyBorder="1" applyAlignment="1">
      <alignment horizontal="right" indent="1"/>
    </xf>
    <xf numFmtId="169" fontId="20" fillId="0" borderId="0" xfId="0" applyNumberFormat="1" applyFont="1"/>
    <xf numFmtId="0" fontId="38" fillId="0" borderId="0" xfId="6" applyFont="1" applyAlignment="1">
      <alignment vertical="top" wrapText="1"/>
    </xf>
    <xf numFmtId="0" fontId="20" fillId="0" borderId="0" xfId="6" applyFont="1" applyAlignment="1">
      <alignment horizontal="left" vertical="top" wrapText="1"/>
    </xf>
    <xf numFmtId="0" fontId="33" fillId="0" borderId="0" xfId="11" applyFont="1" applyAlignment="1">
      <alignment horizontal="right"/>
    </xf>
    <xf numFmtId="0" fontId="11" fillId="0" borderId="0" xfId="16"/>
    <xf numFmtId="0" fontId="23" fillId="0" borderId="0" xfId="16" applyFont="1"/>
    <xf numFmtId="0" fontId="34" fillId="0" borderId="0" xfId="16" applyFont="1"/>
    <xf numFmtId="0" fontId="35" fillId="0" borderId="0" xfId="16" applyFont="1"/>
    <xf numFmtId="0" fontId="9" fillId="0" borderId="0" xfId="16" applyFont="1"/>
    <xf numFmtId="0" fontId="9" fillId="0" borderId="0" xfId="16" applyFont="1" applyAlignment="1">
      <alignment horizontal="right" vertical="center"/>
    </xf>
    <xf numFmtId="0" fontId="35" fillId="2" borderId="0" xfId="16" applyFont="1" applyFill="1" applyAlignment="1">
      <alignment horizontal="left" indent="1"/>
    </xf>
    <xf numFmtId="0" fontId="43" fillId="2" borderId="0" xfId="16" applyFont="1" applyFill="1" applyAlignment="1">
      <alignment horizontal="right" vertical="center"/>
    </xf>
    <xf numFmtId="0" fontId="38" fillId="2" borderId="0" xfId="17" applyFont="1" applyFill="1" applyBorder="1" applyAlignment="1" applyProtection="1">
      <alignment horizontal="left"/>
    </xf>
    <xf numFmtId="0" fontId="45" fillId="0" borderId="0" xfId="16" applyFont="1" applyAlignment="1">
      <alignment horizontal="right"/>
    </xf>
    <xf numFmtId="0" fontId="26" fillId="0" borderId="0" xfId="11" applyFont="1" applyAlignment="1">
      <alignment horizontal="right"/>
    </xf>
    <xf numFmtId="0" fontId="26" fillId="0" borderId="0" xfId="11" applyFont="1" applyAlignment="1">
      <alignment horizontal="left"/>
    </xf>
    <xf numFmtId="3" fontId="26" fillId="0" borderId="0" xfId="11" applyNumberFormat="1" applyFont="1"/>
    <xf numFmtId="165" fontId="38" fillId="0" borderId="0" xfId="0" quotePrefix="1" applyFont="1"/>
    <xf numFmtId="177" fontId="20" fillId="2" borderId="0" xfId="13" applyNumberFormat="1" applyFont="1" applyFill="1" applyAlignment="1" applyProtection="1">
      <alignment horizontal="right" vertical="center"/>
    </xf>
    <xf numFmtId="177" fontId="38" fillId="2" borderId="1" xfId="13" applyNumberFormat="1" applyFont="1" applyFill="1" applyBorder="1" applyAlignment="1" applyProtection="1">
      <alignment horizontal="right"/>
    </xf>
    <xf numFmtId="0" fontId="38" fillId="0" borderId="5" xfId="11" applyFont="1" applyBorder="1" applyAlignment="1">
      <alignment horizontal="center"/>
    </xf>
    <xf numFmtId="0" fontId="38" fillId="0" borderId="5" xfId="11" applyFont="1" applyBorder="1" applyAlignment="1">
      <alignment horizontal="right"/>
    </xf>
    <xf numFmtId="0" fontId="20" fillId="0" borderId="0" xfId="11" applyFont="1"/>
    <xf numFmtId="0" fontId="38" fillId="0" borderId="4" xfId="11" applyFont="1" applyBorder="1" applyAlignment="1">
      <alignment horizontal="center"/>
    </xf>
    <xf numFmtId="0" fontId="38" fillId="0" borderId="4" xfId="11" applyFont="1" applyBorder="1" applyAlignment="1">
      <alignment horizontal="right"/>
    </xf>
    <xf numFmtId="3" fontId="20" fillId="0" borderId="0" xfId="11" applyNumberFormat="1" applyFont="1" applyAlignment="1">
      <alignment horizontal="right"/>
    </xf>
    <xf numFmtId="175" fontId="20" fillId="0" borderId="0" xfId="11" applyNumberFormat="1" applyFont="1" applyAlignment="1">
      <alignment horizontal="right"/>
    </xf>
    <xf numFmtId="171" fontId="20" fillId="0" borderId="0" xfId="11" applyNumberFormat="1" applyFont="1"/>
    <xf numFmtId="1" fontId="20" fillId="0" borderId="0" xfId="12" applyNumberFormat="1" applyFont="1"/>
    <xf numFmtId="174" fontId="20" fillId="0" borderId="0" xfId="11" quotePrefix="1" applyNumberFormat="1" applyFont="1" applyAlignment="1">
      <alignment horizontal="left"/>
    </xf>
    <xf numFmtId="165" fontId="47" fillId="0" borderId="0" xfId="4" applyFont="1" applyAlignment="1">
      <alignment horizontal="left" vertical="center" indent="1"/>
    </xf>
    <xf numFmtId="0" fontId="20" fillId="0" borderId="0" xfId="6" applyFont="1"/>
    <xf numFmtId="0" fontId="20" fillId="0" borderId="0" xfId="0" applyNumberFormat="1" applyFont="1" applyAlignment="1">
      <alignment horizontal="left"/>
    </xf>
    <xf numFmtId="167" fontId="20" fillId="0" borderId="0" xfId="9" applyNumberFormat="1" applyFont="1" applyAlignment="1">
      <alignment horizontal="right" indent="1"/>
    </xf>
    <xf numFmtId="165" fontId="20" fillId="0" borderId="6" xfId="0" applyFont="1" applyBorder="1" applyAlignment="1">
      <alignment horizontal="left"/>
    </xf>
    <xf numFmtId="1" fontId="38" fillId="0" borderId="6" xfId="4" applyNumberFormat="1" applyFont="1" applyBorder="1" applyAlignment="1">
      <alignment horizontal="right" indent="1"/>
    </xf>
    <xf numFmtId="0" fontId="20" fillId="0" borderId="7" xfId="0" applyNumberFormat="1" applyFont="1" applyBorder="1" applyAlignment="1">
      <alignment horizontal="left"/>
    </xf>
    <xf numFmtId="167" fontId="20" fillId="0" borderId="7" xfId="9" applyNumberFormat="1" applyFont="1" applyBorder="1" applyAlignment="1">
      <alignment horizontal="right" indent="1"/>
    </xf>
    <xf numFmtId="165" fontId="50" fillId="6" borderId="13" xfId="21" applyAlignment="1">
      <alignment vertical="center"/>
    </xf>
    <xf numFmtId="165" fontId="50" fillId="6" borderId="13" xfId="26" quotePrefix="1" applyAlignment="1">
      <alignment horizontal="center" vertical="center"/>
    </xf>
    <xf numFmtId="165" fontId="50" fillId="6" borderId="13" xfId="26" applyAlignment="1">
      <alignment horizontal="center" vertical="center"/>
    </xf>
    <xf numFmtId="167" fontId="51" fillId="4" borderId="13" xfId="23">
      <alignment horizontal="right" vertical="center"/>
    </xf>
    <xf numFmtId="165" fontId="50" fillId="6" borderId="16" xfId="29" applyAlignment="1">
      <alignment vertical="center"/>
    </xf>
    <xf numFmtId="167" fontId="55" fillId="0" borderId="0" xfId="4" applyNumberFormat="1" applyFont="1"/>
    <xf numFmtId="177" fontId="55" fillId="0" borderId="0" xfId="13" applyNumberFormat="1" applyFont="1" applyFill="1" applyBorder="1" applyProtection="1"/>
    <xf numFmtId="178" fontId="20" fillId="2" borderId="0" xfId="18" applyNumberFormat="1" applyFont="1" applyFill="1" applyBorder="1" applyAlignment="1" applyProtection="1">
      <alignment horizontal="right" indent="1"/>
    </xf>
    <xf numFmtId="0" fontId="58" fillId="0" borderId="0" xfId="6" applyFont="1"/>
    <xf numFmtId="165" fontId="59" fillId="0" borderId="0" xfId="0" applyFont="1" applyAlignment="1">
      <alignment horizontal="center"/>
    </xf>
    <xf numFmtId="165" fontId="60" fillId="0" borderId="0" xfId="0" applyFont="1" applyAlignment="1">
      <alignment horizontal="center"/>
    </xf>
    <xf numFmtId="165" fontId="61" fillId="4" borderId="13" xfId="25" quotePrefix="1" applyFont="1" applyAlignment="1">
      <alignment horizontal="left" vertical="center"/>
    </xf>
    <xf numFmtId="167" fontId="62" fillId="0" borderId="0" xfId="0" applyNumberFormat="1" applyFont="1"/>
    <xf numFmtId="165" fontId="60" fillId="0" borderId="0" xfId="0" applyFont="1"/>
    <xf numFmtId="165" fontId="63" fillId="5" borderId="13" xfId="27" quotePrefix="1" applyFont="1" applyAlignment="1">
      <alignment horizontal="left" vertical="center"/>
    </xf>
    <xf numFmtId="167" fontId="64" fillId="5" borderId="13" xfId="20" applyFont="1">
      <alignment horizontal="right" vertical="center"/>
    </xf>
    <xf numFmtId="165" fontId="65" fillId="7" borderId="17" xfId="0" applyFont="1" applyFill="1" applyBorder="1" applyAlignment="1">
      <alignment horizontal="center"/>
    </xf>
    <xf numFmtId="165" fontId="62" fillId="0" borderId="0" xfId="0" applyFont="1"/>
    <xf numFmtId="171" fontId="62" fillId="0" borderId="0" xfId="0" applyNumberFormat="1" applyFont="1"/>
    <xf numFmtId="165" fontId="50" fillId="5" borderId="13" xfId="32" quotePrefix="1" applyAlignment="1">
      <alignment horizontal="center"/>
    </xf>
    <xf numFmtId="165" fontId="50" fillId="5" borderId="13" xfId="32" applyAlignment="1">
      <alignment horizontal="center"/>
    </xf>
    <xf numFmtId="165" fontId="66" fillId="8" borderId="18" xfId="32" applyFont="1" applyFill="1" applyBorder="1" applyAlignment="1">
      <alignment horizontal="center"/>
    </xf>
    <xf numFmtId="165" fontId="67" fillId="7" borderId="0" xfId="0" applyFont="1" applyFill="1"/>
    <xf numFmtId="169" fontId="67" fillId="7" borderId="0" xfId="0" applyNumberFormat="1" applyFont="1" applyFill="1"/>
    <xf numFmtId="165" fontId="52" fillId="4" borderId="16" xfId="33" quotePrefix="1" applyAlignment="1">
      <alignment horizontal="left" vertical="center"/>
    </xf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50" fillId="9" borderId="13" xfId="28" quotePrefix="1" applyFill="1" applyAlignment="1">
      <alignment horizontal="center"/>
    </xf>
    <xf numFmtId="3" fontId="62" fillId="0" borderId="0" xfId="0" applyNumberFormat="1" applyFont="1"/>
    <xf numFmtId="0" fontId="20" fillId="0" borderId="0" xfId="0" applyNumberFormat="1" applyFont="1"/>
    <xf numFmtId="0" fontId="20" fillId="2" borderId="3" xfId="11" applyFont="1" applyFill="1" applyBorder="1" applyAlignment="1">
      <alignment horizontal="center"/>
    </xf>
    <xf numFmtId="0" fontId="20" fillId="2" borderId="3" xfId="11" applyFont="1" applyFill="1" applyBorder="1" applyAlignment="1">
      <alignment horizontal="right"/>
    </xf>
    <xf numFmtId="0" fontId="20" fillId="2" borderId="3" xfId="11" applyFont="1" applyFill="1" applyBorder="1" applyAlignment="1">
      <alignment horizontal="right" wrapText="1"/>
    </xf>
    <xf numFmtId="0" fontId="20" fillId="0" borderId="0" xfId="11" applyFont="1" applyAlignment="1">
      <alignment horizontal="right"/>
    </xf>
    <xf numFmtId="170" fontId="20" fillId="0" borderId="0" xfId="11" applyNumberFormat="1" applyFont="1" applyAlignment="1">
      <alignment horizontal="right"/>
    </xf>
    <xf numFmtId="0" fontId="20" fillId="2" borderId="0" xfId="11" applyFont="1" applyFill="1"/>
    <xf numFmtId="172" fontId="20" fillId="2" borderId="0" xfId="11" applyNumberFormat="1" applyFont="1" applyFill="1"/>
    <xf numFmtId="3" fontId="20" fillId="2" borderId="0" xfId="11" applyNumberFormat="1" applyFont="1" applyFill="1"/>
    <xf numFmtId="0" fontId="20" fillId="0" borderId="0" xfId="3" applyFont="1"/>
    <xf numFmtId="170" fontId="20" fillId="0" borderId="0" xfId="11" applyNumberFormat="1" applyFont="1"/>
    <xf numFmtId="0" fontId="20" fillId="2" borderId="11" xfId="11" applyFont="1" applyFill="1" applyBorder="1"/>
    <xf numFmtId="172" fontId="20" fillId="2" borderId="11" xfId="11" applyNumberFormat="1" applyFont="1" applyFill="1" applyBorder="1"/>
    <xf numFmtId="0" fontId="20" fillId="2" borderId="4" xfId="11" applyFont="1" applyFill="1" applyBorder="1"/>
    <xf numFmtId="3" fontId="20" fillId="0" borderId="0" xfId="11" applyNumberFormat="1" applyFont="1"/>
    <xf numFmtId="1" fontId="20" fillId="0" borderId="0" xfId="11" applyNumberFormat="1" applyFont="1"/>
    <xf numFmtId="17" fontId="20" fillId="2" borderId="3" xfId="11" quotePrefix="1" applyNumberFormat="1" applyFont="1" applyFill="1" applyBorder="1" applyAlignment="1">
      <alignment horizontal="right"/>
    </xf>
    <xf numFmtId="169" fontId="60" fillId="0" borderId="0" xfId="0" applyNumberFormat="1" applyFont="1"/>
    <xf numFmtId="3" fontId="38" fillId="0" borderId="1" xfId="0" applyNumberFormat="1" applyFont="1" applyBorder="1"/>
    <xf numFmtId="3" fontId="20" fillId="0" borderId="1" xfId="0" applyNumberFormat="1" applyFont="1" applyBorder="1"/>
    <xf numFmtId="3" fontId="20" fillId="11" borderId="0" xfId="0" applyNumberFormat="1" applyFont="1" applyFill="1" applyAlignment="1">
      <alignment horizontal="right" vertical="center"/>
    </xf>
    <xf numFmtId="177" fontId="20" fillId="11" borderId="0" xfId="13" applyNumberFormat="1" applyFont="1" applyFill="1" applyAlignment="1" applyProtection="1">
      <alignment horizontal="right" vertical="center"/>
    </xf>
    <xf numFmtId="177" fontId="38" fillId="11" borderId="1" xfId="13" applyNumberFormat="1" applyFont="1" applyFill="1" applyBorder="1" applyAlignment="1" applyProtection="1">
      <alignment horizontal="right"/>
    </xf>
    <xf numFmtId="165" fontId="0" fillId="0" borderId="0" xfId="0" applyAlignment="1">
      <alignment horizontal="right"/>
    </xf>
    <xf numFmtId="165" fontId="68" fillId="12" borderId="13" xfId="40" applyAlignment="1">
      <alignment vertical="center"/>
    </xf>
    <xf numFmtId="165" fontId="68" fillId="12" borderId="13" xfId="38" quotePrefix="1" applyAlignment="1">
      <alignment horizontal="center"/>
    </xf>
    <xf numFmtId="165" fontId="68" fillId="12" borderId="13" xfId="38" applyAlignment="1">
      <alignment horizontal="center"/>
    </xf>
    <xf numFmtId="165" fontId="69" fillId="4" borderId="13" xfId="41" quotePrefix="1" applyAlignment="1">
      <alignment horizontal="left" vertical="center"/>
    </xf>
    <xf numFmtId="0" fontId="20" fillId="0" borderId="0" xfId="4" applyNumberFormat="1" applyFont="1" applyAlignment="1">
      <alignment horizontal="left" wrapText="1"/>
    </xf>
    <xf numFmtId="3" fontId="51" fillId="4" borderId="13" xfId="23" applyNumberFormat="1">
      <alignment horizontal="right" vertical="center"/>
    </xf>
    <xf numFmtId="14" fontId="52" fillId="4" borderId="13" xfId="25" quotePrefix="1" applyNumberFormat="1" applyAlignment="1">
      <alignment horizontal="left" vertical="center"/>
    </xf>
    <xf numFmtId="165" fontId="50" fillId="9" borderId="14" xfId="28" applyFill="1" applyBorder="1" applyAlignment="1">
      <alignment horizontal="center"/>
    </xf>
    <xf numFmtId="171" fontId="20" fillId="0" borderId="9" xfId="0" applyNumberFormat="1" applyFont="1" applyBorder="1" applyAlignment="1">
      <alignment horizontal="right" vertical="center" wrapText="1" readingOrder="1"/>
    </xf>
    <xf numFmtId="171" fontId="58" fillId="10" borderId="0" xfId="0" applyNumberFormat="1" applyFont="1" applyFill="1" applyAlignment="1">
      <alignment horizontal="right" vertical="center" wrapText="1"/>
    </xf>
    <xf numFmtId="165" fontId="58" fillId="10" borderId="0" xfId="0" applyFont="1" applyFill="1" applyAlignment="1">
      <alignment horizontal="right" vertical="center" wrapText="1"/>
    </xf>
    <xf numFmtId="171" fontId="20" fillId="10" borderId="9" xfId="0" applyNumberFormat="1" applyFont="1" applyFill="1" applyBorder="1" applyAlignment="1">
      <alignment horizontal="right" vertical="center" wrapText="1"/>
    </xf>
    <xf numFmtId="165" fontId="20" fillId="10" borderId="10" xfId="0" applyFont="1" applyFill="1" applyBorder="1" applyAlignment="1">
      <alignment horizontal="right" vertical="center" wrapText="1"/>
    </xf>
    <xf numFmtId="3" fontId="58" fillId="10" borderId="0" xfId="0" applyNumberFormat="1" applyFont="1" applyFill="1" applyAlignment="1">
      <alignment horizontal="right" vertical="center" wrapText="1"/>
    </xf>
    <xf numFmtId="165" fontId="38" fillId="0" borderId="0" xfId="7" applyFont="1" applyAlignment="1">
      <alignment horizontal="left" readingOrder="1"/>
    </xf>
    <xf numFmtId="0" fontId="5" fillId="0" borderId="0" xfId="46" applyAlignment="1">
      <alignment horizontal="center" vertical="center" wrapText="1"/>
    </xf>
    <xf numFmtId="0" fontId="5" fillId="0" borderId="0" xfId="46"/>
    <xf numFmtId="14" fontId="5" fillId="0" borderId="0" xfId="46" applyNumberFormat="1"/>
    <xf numFmtId="3" fontId="70" fillId="0" borderId="22" xfId="46" applyNumberFormat="1" applyFont="1" applyBorder="1" applyAlignment="1">
      <alignment horizontal="right" vertical="center"/>
    </xf>
    <xf numFmtId="167" fontId="70" fillId="0" borderId="22" xfId="46" applyNumberFormat="1" applyFont="1" applyBorder="1" applyAlignment="1">
      <alignment horizontal="right" vertical="center"/>
    </xf>
    <xf numFmtId="171" fontId="5" fillId="0" borderId="0" xfId="46" applyNumberFormat="1"/>
    <xf numFmtId="1" fontId="5" fillId="0" borderId="0" xfId="46" applyNumberFormat="1"/>
    <xf numFmtId="180" fontId="20" fillId="0" borderId="0" xfId="0" applyNumberFormat="1" applyFont="1"/>
    <xf numFmtId="3" fontId="70" fillId="0" borderId="0" xfId="46" applyNumberFormat="1" applyFont="1" applyAlignment="1">
      <alignment horizontal="right" vertical="center"/>
    </xf>
    <xf numFmtId="0" fontId="20" fillId="0" borderId="0" xfId="4" applyNumberFormat="1" applyFont="1" applyAlignment="1">
      <alignment wrapText="1"/>
    </xf>
    <xf numFmtId="0" fontId="20" fillId="0" borderId="0" xfId="4" applyNumberFormat="1" applyFont="1"/>
    <xf numFmtId="165" fontId="68" fillId="0" borderId="13" xfId="43" quotePrefix="1" applyFill="1">
      <alignment horizontal="left" vertical="center"/>
    </xf>
    <xf numFmtId="165" fontId="68" fillId="0" borderId="13" xfId="43" applyFill="1">
      <alignment horizontal="left" vertical="center"/>
    </xf>
    <xf numFmtId="179" fontId="68" fillId="0" borderId="13" xfId="42" applyFill="1">
      <alignment horizontal="right" vertical="center"/>
    </xf>
    <xf numFmtId="167" fontId="68" fillId="13" borderId="13" xfId="42" applyNumberFormat="1" applyFill="1">
      <alignment horizontal="right" vertical="center"/>
    </xf>
    <xf numFmtId="3" fontId="20" fillId="10" borderId="0" xfId="0" applyNumberFormat="1" applyFont="1" applyFill="1" applyAlignment="1">
      <alignment horizontal="right" vertical="center" wrapText="1"/>
    </xf>
    <xf numFmtId="165" fontId="20" fillId="10" borderId="8" xfId="0" applyFont="1" applyFill="1" applyBorder="1" applyAlignment="1">
      <alignment horizontal="right" vertical="center" wrapText="1"/>
    </xf>
    <xf numFmtId="165" fontId="72" fillId="17" borderId="13" xfId="47" applyAlignment="1">
      <alignment vertical="center"/>
    </xf>
    <xf numFmtId="165" fontId="72" fillId="17" borderId="13" xfId="49" quotePrefix="1" applyAlignment="1">
      <alignment horizontal="center"/>
    </xf>
    <xf numFmtId="165" fontId="72" fillId="17" borderId="13" xfId="49" applyAlignment="1">
      <alignment horizontal="center"/>
    </xf>
    <xf numFmtId="165" fontId="53" fillId="5" borderId="13" xfId="55" quotePrefix="1" applyAlignment="1">
      <alignment horizontal="left" vertical="center"/>
    </xf>
    <xf numFmtId="165" fontId="50" fillId="6" borderId="13" xfId="52" applyAlignment="1">
      <alignment horizontal="center"/>
    </xf>
    <xf numFmtId="181" fontId="0" fillId="0" borderId="0" xfId="0" applyNumberFormat="1"/>
    <xf numFmtId="0" fontId="50" fillId="15" borderId="13" xfId="57" applyFont="1" applyFill="1" applyBorder="1" applyAlignment="1">
      <alignment horizontal="center" vertical="center" wrapText="1"/>
    </xf>
    <xf numFmtId="0" fontId="50" fillId="15" borderId="21" xfId="57" applyFont="1" applyFill="1" applyBorder="1" applyAlignment="1">
      <alignment horizontal="center" vertical="center" wrapText="1"/>
    </xf>
    <xf numFmtId="0" fontId="3" fillId="0" borderId="0" xfId="46" applyFont="1" applyAlignment="1">
      <alignment horizontal="center" vertical="center" wrapText="1"/>
    </xf>
    <xf numFmtId="1" fontId="20" fillId="0" borderId="0" xfId="3" applyNumberFormat="1" applyFont="1"/>
    <xf numFmtId="165" fontId="67" fillId="0" borderId="0" xfId="0" applyFont="1"/>
    <xf numFmtId="182" fontId="67" fillId="0" borderId="0" xfId="0" applyNumberFormat="1" applyFont="1"/>
    <xf numFmtId="0" fontId="2" fillId="0" borderId="0" xfId="46" applyFont="1" applyAlignment="1">
      <alignment horizontal="center" vertical="center" wrapText="1"/>
    </xf>
    <xf numFmtId="167" fontId="51" fillId="16" borderId="13" xfId="0" applyNumberFormat="1" applyFont="1" applyFill="1" applyBorder="1" applyAlignment="1">
      <alignment horizontal="right" vertical="center" wrapText="1"/>
    </xf>
    <xf numFmtId="10" fontId="51" fillId="16" borderId="13" xfId="0" applyNumberFormat="1" applyFont="1" applyFill="1" applyBorder="1" applyAlignment="1">
      <alignment horizontal="right" vertical="center" wrapText="1"/>
    </xf>
    <xf numFmtId="10" fontId="51" fillId="16" borderId="21" xfId="0" applyNumberFormat="1" applyFont="1" applyFill="1" applyBorder="1" applyAlignment="1">
      <alignment horizontal="right" vertical="center" wrapText="1"/>
    </xf>
    <xf numFmtId="167" fontId="49" fillId="14" borderId="13" xfId="0" applyNumberFormat="1" applyFont="1" applyFill="1" applyBorder="1" applyAlignment="1">
      <alignment horizontal="right" vertical="center" wrapText="1"/>
    </xf>
    <xf numFmtId="10" fontId="49" fillId="14" borderId="13" xfId="0" applyNumberFormat="1" applyFont="1" applyFill="1" applyBorder="1" applyAlignment="1">
      <alignment horizontal="right" vertical="center" wrapText="1"/>
    </xf>
    <xf numFmtId="10" fontId="49" fillId="14" borderId="21" xfId="0" applyNumberFormat="1" applyFont="1" applyFill="1" applyBorder="1" applyAlignment="1">
      <alignment horizontal="right" vertical="center" wrapText="1"/>
    </xf>
    <xf numFmtId="165" fontId="52" fillId="16" borderId="13" xfId="0" applyFont="1" applyFill="1" applyBorder="1" applyAlignment="1">
      <alignment horizontal="left" vertical="center" wrapText="1"/>
    </xf>
    <xf numFmtId="165" fontId="53" fillId="14" borderId="13" xfId="0" applyFont="1" applyFill="1" applyBorder="1" applyAlignment="1">
      <alignment horizontal="left" vertical="center" wrapText="1"/>
    </xf>
    <xf numFmtId="165" fontId="50" fillId="6" borderId="13" xfId="52" quotePrefix="1" applyAlignment="1">
      <alignment horizontal="center"/>
    </xf>
    <xf numFmtId="0" fontId="38" fillId="0" borderId="0" xfId="6" applyFont="1" applyAlignment="1">
      <alignment horizontal="left" vertical="top" wrapText="1"/>
    </xf>
    <xf numFmtId="165" fontId="52" fillId="0" borderId="18" xfId="53" applyFill="1" applyBorder="1" applyAlignment="1">
      <alignment horizontal="left" vertical="center"/>
    </xf>
    <xf numFmtId="165" fontId="8" fillId="0" borderId="0" xfId="0" applyFont="1" applyAlignment="1">
      <alignment horizontal="right"/>
    </xf>
    <xf numFmtId="0" fontId="32" fillId="0" borderId="0" xfId="2" applyFont="1"/>
    <xf numFmtId="0" fontId="73" fillId="0" borderId="0" xfId="2" applyFont="1"/>
    <xf numFmtId="0" fontId="74" fillId="0" borderId="0" xfId="2" applyFont="1"/>
    <xf numFmtId="0" fontId="9" fillId="0" borderId="0" xfId="8" applyFont="1" applyAlignment="1">
      <alignment horizontal="left"/>
    </xf>
    <xf numFmtId="0" fontId="20" fillId="0" borderId="0" xfId="2" applyFont="1"/>
    <xf numFmtId="170" fontId="20" fillId="10" borderId="0" xfId="8" applyNumberFormat="1" applyFont="1" applyFill="1"/>
    <xf numFmtId="0" fontId="32" fillId="0" borderId="0" xfId="8" applyFont="1" applyAlignment="1">
      <alignment wrapText="1"/>
    </xf>
    <xf numFmtId="0" fontId="32" fillId="0" borderId="24" xfId="2" applyFont="1" applyBorder="1"/>
    <xf numFmtId="177" fontId="0" fillId="0" borderId="0" xfId="13" applyNumberFormat="1" applyFont="1"/>
    <xf numFmtId="10" fontId="20" fillId="2" borderId="0" xfId="13" applyNumberFormat="1" applyFont="1" applyFill="1" applyAlignment="1">
      <alignment horizontal="right" indent="1"/>
    </xf>
    <xf numFmtId="10" fontId="24" fillId="0" borderId="0" xfId="13" applyNumberFormat="1" applyFont="1"/>
    <xf numFmtId="165" fontId="24" fillId="0" borderId="0" xfId="0" applyFont="1"/>
    <xf numFmtId="10" fontId="38" fillId="2" borderId="6" xfId="13" applyNumberFormat="1" applyFont="1" applyFill="1" applyBorder="1" applyAlignment="1">
      <alignment horizontal="right" indent="1"/>
    </xf>
    <xf numFmtId="3" fontId="64" fillId="5" borderId="13" xfId="20" applyNumberFormat="1" applyFont="1">
      <alignment horizontal="right" vertical="center"/>
    </xf>
    <xf numFmtId="165" fontId="52" fillId="4" borderId="13" xfId="53" quotePrefix="1" applyAlignment="1">
      <alignment horizontal="left" vertical="center" indent="1"/>
    </xf>
    <xf numFmtId="165" fontId="52" fillId="4" borderId="13" xfId="53" quotePrefix="1" applyAlignment="1">
      <alignment horizontal="left" vertical="center" indent="2"/>
    </xf>
    <xf numFmtId="165" fontId="38" fillId="0" borderId="0" xfId="0" applyFont="1" applyAlignment="1">
      <alignment horizontal="left"/>
    </xf>
    <xf numFmtId="3" fontId="38" fillId="0" borderId="0" xfId="9" applyNumberFormat="1" applyFont="1" applyAlignment="1">
      <alignment horizontal="right" indent="1"/>
    </xf>
    <xf numFmtId="10" fontId="38" fillId="0" borderId="0" xfId="13" applyNumberFormat="1" applyFont="1" applyFill="1" applyBorder="1" applyAlignment="1">
      <alignment horizontal="right" indent="1"/>
    </xf>
    <xf numFmtId="165" fontId="52" fillId="4" borderId="13" xfId="25" quotePrefix="1" applyAlignment="1">
      <alignment horizontal="left" vertical="center"/>
    </xf>
    <xf numFmtId="165" fontId="52" fillId="4" borderId="13" xfId="25" applyAlignment="1">
      <alignment horizontal="left" vertical="center"/>
    </xf>
    <xf numFmtId="171" fontId="0" fillId="0" borderId="0" xfId="13" applyNumberFormat="1" applyFont="1"/>
    <xf numFmtId="3" fontId="78" fillId="0" borderId="0" xfId="71" applyNumberFormat="1" applyFont="1"/>
    <xf numFmtId="165" fontId="61" fillId="4" borderId="0" xfId="25" quotePrefix="1" applyFont="1" applyBorder="1" applyAlignment="1">
      <alignment horizontal="left" vertical="center"/>
    </xf>
    <xf numFmtId="169" fontId="79" fillId="0" borderId="0" xfId="0" applyNumberFormat="1" applyFont="1"/>
    <xf numFmtId="184" fontId="0" fillId="0" borderId="0" xfId="0" applyNumberFormat="1"/>
    <xf numFmtId="182" fontId="60" fillId="0" borderId="0" xfId="0" applyNumberFormat="1" applyFont="1"/>
    <xf numFmtId="10" fontId="60" fillId="0" borderId="0" xfId="13" applyNumberFormat="1" applyFont="1"/>
    <xf numFmtId="171" fontId="20" fillId="0" borderId="9" xfId="0" applyNumberFormat="1" applyFont="1" applyBorder="1" applyAlignment="1">
      <alignment horizontal="right" vertical="center" wrapText="1"/>
    </xf>
    <xf numFmtId="165" fontId="20" fillId="0" borderId="10" xfId="0" applyFont="1" applyBorder="1" applyAlignment="1">
      <alignment horizontal="right" vertical="center" wrapText="1"/>
    </xf>
    <xf numFmtId="168" fontId="51" fillId="4" borderId="13" xfId="54">
      <alignment horizontal="right" vertical="center"/>
    </xf>
    <xf numFmtId="10" fontId="51" fillId="4" borderId="13" xfId="61">
      <alignment horizontal="right" vertical="center"/>
    </xf>
    <xf numFmtId="168" fontId="49" fillId="5" borderId="13" xfId="34">
      <alignment horizontal="right" vertical="center"/>
    </xf>
    <xf numFmtId="10" fontId="49" fillId="5" borderId="13" xfId="56">
      <alignment horizontal="right" vertical="center"/>
    </xf>
    <xf numFmtId="165" fontId="53" fillId="5" borderId="18" xfId="55" quotePrefix="1" applyBorder="1" applyAlignment="1">
      <alignment horizontal="left" vertical="center"/>
    </xf>
    <xf numFmtId="168" fontId="49" fillId="5" borderId="18" xfId="34" applyBorder="1">
      <alignment horizontal="right" vertical="center"/>
    </xf>
    <xf numFmtId="10" fontId="49" fillId="5" borderId="18" xfId="56" applyBorder="1">
      <alignment horizontal="right" vertical="center"/>
    </xf>
    <xf numFmtId="165" fontId="52" fillId="0" borderId="0" xfId="53" applyFill="1" applyBorder="1" applyAlignment="1">
      <alignment horizontal="left" vertical="center"/>
    </xf>
    <xf numFmtId="168" fontId="51" fillId="0" borderId="0" xfId="54" applyFill="1" applyBorder="1">
      <alignment horizontal="right" vertical="center"/>
    </xf>
    <xf numFmtId="49" fontId="0" fillId="0" borderId="0" xfId="0" applyNumberFormat="1"/>
    <xf numFmtId="168" fontId="21" fillId="4" borderId="13" xfId="44">
      <alignment horizontal="right" vertical="center"/>
    </xf>
    <xf numFmtId="165" fontId="72" fillId="12" borderId="13" xfId="48" quotePrefix="1">
      <alignment horizontal="left" vertical="center"/>
    </xf>
    <xf numFmtId="168" fontId="72" fillId="12" borderId="13" xfId="50">
      <alignment horizontal="right" vertical="center"/>
    </xf>
    <xf numFmtId="167" fontId="49" fillId="5" borderId="13" xfId="20">
      <alignment horizontal="right" vertical="center"/>
    </xf>
    <xf numFmtId="179" fontId="21" fillId="4" borderId="13" xfId="39">
      <alignment horizontal="right" vertical="center"/>
    </xf>
    <xf numFmtId="165" fontId="68" fillId="12" borderId="13" xfId="43" quotePrefix="1">
      <alignment horizontal="left" vertical="center"/>
    </xf>
    <xf numFmtId="165" fontId="68" fillId="12" borderId="13" xfId="43">
      <alignment horizontal="left" vertical="center"/>
    </xf>
    <xf numFmtId="179" fontId="68" fillId="12" borderId="13" xfId="42">
      <alignment horizontal="right" vertical="center"/>
    </xf>
    <xf numFmtId="183" fontId="21" fillId="4" borderId="13" xfId="72">
      <alignment horizontal="right" vertical="center"/>
    </xf>
    <xf numFmtId="171" fontId="0" fillId="0" borderId="0" xfId="0" applyNumberFormat="1"/>
    <xf numFmtId="0" fontId="20" fillId="0" borderId="0" xfId="4" applyNumberFormat="1" applyFont="1" applyAlignment="1">
      <alignment horizontal="justify"/>
    </xf>
    <xf numFmtId="0" fontId="20" fillId="0" borderId="0" xfId="4" applyNumberFormat="1" applyFont="1" applyAlignment="1">
      <alignment horizontal="left" wrapText="1"/>
    </xf>
    <xf numFmtId="0" fontId="20" fillId="0" borderId="5" xfId="4" applyNumberFormat="1" applyFont="1" applyBorder="1" applyAlignment="1">
      <alignment horizontal="justify" wrapText="1"/>
    </xf>
    <xf numFmtId="0" fontId="20" fillId="0" borderId="5" xfId="4" applyNumberFormat="1" applyFont="1" applyBorder="1" applyAlignment="1">
      <alignment horizontal="justify"/>
    </xf>
    <xf numFmtId="165" fontId="38" fillId="0" borderId="0" xfId="4" applyFont="1" applyAlignment="1">
      <alignment horizontal="left" vertical="top" wrapText="1"/>
    </xf>
    <xf numFmtId="165" fontId="16" fillId="3" borderId="2" xfId="4" quotePrefix="1" applyFont="1" applyFill="1" applyBorder="1" applyAlignment="1">
      <alignment horizontal="right" indent="1"/>
    </xf>
    <xf numFmtId="0" fontId="16" fillId="3" borderId="2" xfId="4" applyNumberFormat="1" applyFont="1" applyFill="1" applyBorder="1" applyAlignment="1">
      <alignment horizontal="right" indent="1"/>
    </xf>
    <xf numFmtId="165" fontId="16" fillId="3" borderId="2" xfId="4" applyFont="1" applyFill="1" applyBorder="1" applyAlignment="1">
      <alignment horizontal="right" indent="1"/>
    </xf>
    <xf numFmtId="0" fontId="38" fillId="0" borderId="0" xfId="6" applyFont="1" applyAlignment="1">
      <alignment horizontal="left" vertical="top" wrapText="1"/>
    </xf>
    <xf numFmtId="0" fontId="38" fillId="0" borderId="0" xfId="6" applyFont="1" applyAlignment="1">
      <alignment vertical="top" wrapText="1"/>
    </xf>
    <xf numFmtId="0" fontId="38" fillId="0" borderId="0" xfId="2" applyFont="1" applyAlignment="1">
      <alignment horizontal="left" vertical="top" wrapText="1"/>
    </xf>
    <xf numFmtId="165" fontId="38" fillId="2" borderId="0" xfId="10" quotePrefix="1" applyNumberFormat="1" applyFont="1" applyFill="1" applyBorder="1" applyAlignment="1">
      <alignment horizontal="center" vertical="center"/>
    </xf>
    <xf numFmtId="0" fontId="38" fillId="2" borderId="8" xfId="10" applyNumberFormat="1" applyFont="1" applyFill="1" applyBorder="1" applyAlignment="1">
      <alignment horizontal="center" vertical="center"/>
    </xf>
    <xf numFmtId="0" fontId="38" fillId="2" borderId="0" xfId="10" applyNumberFormat="1" applyFont="1" applyFill="1" applyBorder="1" applyAlignment="1">
      <alignment horizontal="center" vertical="center"/>
    </xf>
    <xf numFmtId="167" fontId="20" fillId="2" borderId="0" xfId="4" applyNumberFormat="1" applyFont="1" applyFill="1" applyAlignment="1">
      <alignment horizontal="left" vertical="center"/>
    </xf>
    <xf numFmtId="167" fontId="38" fillId="2" borderId="0" xfId="4" applyNumberFormat="1" applyFont="1" applyFill="1" applyAlignment="1">
      <alignment horizontal="right" vertical="center"/>
    </xf>
    <xf numFmtId="167" fontId="20" fillId="2" borderId="0" xfId="4" applyNumberFormat="1" applyFont="1" applyFill="1" applyAlignment="1">
      <alignment horizontal="center"/>
    </xf>
    <xf numFmtId="167" fontId="38" fillId="2" borderId="0" xfId="4" applyNumberFormat="1" applyFont="1" applyFill="1" applyAlignment="1">
      <alignment horizontal="center"/>
    </xf>
    <xf numFmtId="165" fontId="50" fillId="6" borderId="13" xfId="52" quotePrefix="1" applyAlignment="1">
      <alignment horizontal="center"/>
    </xf>
    <xf numFmtId="165" fontId="0" fillId="0" borderId="11" xfId="0" applyBorder="1" applyAlignment="1">
      <alignment horizontal="center"/>
    </xf>
    <xf numFmtId="165" fontId="69" fillId="4" borderId="20" xfId="41" quotePrefix="1" applyBorder="1" applyAlignment="1">
      <alignment horizontal="left" vertical="center"/>
    </xf>
    <xf numFmtId="165" fontId="0" fillId="0" borderId="21" xfId="0" applyBorder="1" applyAlignment="1">
      <alignment horizontal="left" vertical="center"/>
    </xf>
    <xf numFmtId="165" fontId="50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50" fillId="6" borderId="15" xfId="52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69" fillId="4" borderId="19" xfId="41" quotePrefix="1" applyBorder="1" applyAlignment="1">
      <alignment horizontal="left" vertical="center"/>
    </xf>
    <xf numFmtId="165" fontId="0" fillId="0" borderId="20" xfId="0" applyBorder="1" applyAlignment="1">
      <alignment horizontal="left" vertical="center"/>
    </xf>
    <xf numFmtId="165" fontId="50" fillId="9" borderId="15" xfId="28" applyFill="1" applyBorder="1" applyAlignment="1">
      <alignment horizontal="center"/>
    </xf>
    <xf numFmtId="165" fontId="50" fillId="9" borderId="14" xfId="28" applyFill="1" applyBorder="1" applyAlignment="1">
      <alignment horizontal="center"/>
    </xf>
    <xf numFmtId="165" fontId="38" fillId="2" borderId="12" xfId="0" applyFont="1" applyFill="1" applyBorder="1" applyAlignment="1">
      <alignment horizontal="center"/>
    </xf>
    <xf numFmtId="0" fontId="38" fillId="0" borderId="3" xfId="11" applyFont="1" applyBorder="1" applyAlignment="1">
      <alignment horizontal="center"/>
    </xf>
    <xf numFmtId="0" fontId="50" fillId="15" borderId="13" xfId="57" applyFont="1" applyFill="1" applyBorder="1" applyAlignment="1">
      <alignment horizontal="center" wrapText="1"/>
    </xf>
    <xf numFmtId="0" fontId="50" fillId="15" borderId="21" xfId="57" applyFont="1" applyFill="1" applyBorder="1" applyAlignment="1">
      <alignment horizontal="center" wrapText="1"/>
    </xf>
    <xf numFmtId="165" fontId="50" fillId="15" borderId="16" xfId="0" applyFont="1" applyFill="1" applyBorder="1" applyAlignment="1">
      <alignment horizontal="center" wrapText="1"/>
    </xf>
    <xf numFmtId="165" fontId="0" fillId="0" borderId="23" xfId="0" applyBorder="1" applyAlignment="1">
      <alignment horizontal="center"/>
    </xf>
    <xf numFmtId="165" fontId="72" fillId="17" borderId="13" xfId="49" quotePrefix="1" applyAlignment="1">
      <alignment horizontal="center"/>
    </xf>
  </cellXfs>
  <cellStyles count="74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Hipervínculo 4" xfId="67" xr:uid="{E5EFD3D6-D131-476D-A796-361EDB968B31}"/>
    <cellStyle name="Millares" xfId="18" builtinId="3"/>
    <cellStyle name="MSTRStyle.Todos.c01345FC2B5437FE7CC6FC097290B19B5_d21bff2c-6d57-4b21-a9db-885c116d5232" xfId="62" xr:uid="{AF487255-1B73-4CEA-9C26-18068ACF8F56}"/>
    <cellStyle name="MSTRStyle.Todos.c1_060eb91a-73b4-430f-97c4-e8815a8d117f" xfId="73" xr:uid="{E9FA363F-D146-4BD3-936E-5A7159C81D9A}"/>
    <cellStyle name="MSTRStyle.Todos.c12_41e5c802-0036-4296-98c2-7fda3afe8126" xfId="44" xr:uid="{67A0AA3A-AC11-4695-8802-88404AA6C089}"/>
    <cellStyle name="MSTRStyle.Todos.c12_7a1e8989-ce78-4d49-8f33-804e75eaa9ac" xfId="39" xr:uid="{00000000-0005-0000-0000-000005000000}"/>
    <cellStyle name="MSTRStyle.Todos.c13_0b0314d6-c2e0-43d2-a5aa-9345e4338932" xfId="60" xr:uid="{E77B47E2-34CD-43A9-B992-E781A910FBB3}"/>
    <cellStyle name="MSTRStyle.Todos.c13_1c857d04-1888-46ca-a093-da254b91b892" xfId="43" xr:uid="{00000000-0005-0000-0000-000006000000}"/>
    <cellStyle name="MSTRStyle.Todos.c13_7e420611-275d-473b-8f31-0e521fd83d09" xfId="26" xr:uid="{00000000-0005-0000-0000-000007000000}"/>
    <cellStyle name="MSTRStyle.Todos.c14_24ef3bf5-3bfb-4ec7-945f-c2ead93535e5" xfId="72" xr:uid="{D5EA1DB9-26AD-4BEE-A400-1978D1742245}"/>
    <cellStyle name="MSTRStyle.Todos.c14_bd018b41-2aac-4afa-b128-186e0d2a0ba8" xfId="42" xr:uid="{00000000-0005-0000-0000-000008000000}"/>
    <cellStyle name="MSTRStyle.Todos.c15_15fbff46-fe6a-4e3e-a0de-d99014ad5935" xfId="54" xr:uid="{CBC9C65B-4B9A-4409-A2B6-9DC46AD977FB}"/>
    <cellStyle name="MSTRStyle.Todos.c16_a3abbdba-39c5-4475-8de4-e6135500e251" xfId="23" xr:uid="{00000000-0005-0000-0000-00000A000000}"/>
    <cellStyle name="MSTRStyle.Todos.c17_4d0c6726-016a-458a-8b38-aa05b0e7297c" xfId="45" xr:uid="{D18DF0AE-27F8-4B95-8BD1-57C13B7B04DF}"/>
    <cellStyle name="MSTRStyle.Todos.c17_9a84d701-23f0-4645-bc21-6b9831c6df1c" xfId="61" xr:uid="{14423CFE-7906-4680-A545-0493BD2E2652}"/>
    <cellStyle name="MSTRStyle.Todos.c18_19c4098a-8743-4bc4-b466-65d82a5a7505" xfId="24" xr:uid="{00000000-0005-0000-0000-00000B000000}"/>
    <cellStyle name="MSTRStyle.Todos.c19_15009b83-d662-472c-ae48-4df3fea471dd" xfId="34" xr:uid="{00000000-0005-0000-0000-00000C000000}"/>
    <cellStyle name="MSTRStyle.Todos.c2_3a581374-dd4c-4b65-a07e-d5e7fd3fec7a" xfId="51" xr:uid="{0E9F78D5-4D9A-4151-B054-A0EEE46EFED7}"/>
    <cellStyle name="MSTRStyle.Todos.c2_3c6e317f-bd39-4422-933b-ac144830b67b" xfId="21" xr:uid="{00000000-0005-0000-0000-00000D000000}"/>
    <cellStyle name="MSTRStyle.Todos.c2_c104d2fa-5300-418c-a569-abbb41344e9d" xfId="40" xr:uid="{00000000-0005-0000-0000-00000E000000}"/>
    <cellStyle name="MSTRStyle.Todos.c2_e153042f-707e-470f-9ae6-b2261dc537dd" xfId="47" xr:uid="{0C089A2F-1D42-4871-B3A0-B3855D13E552}"/>
    <cellStyle name="MSTRStyle.Todos.c20_17d38e15-bcc2-49f6-adb0-74fa24f73c0d" xfId="19" xr:uid="{00000000-0005-0000-0000-00000F000000}"/>
    <cellStyle name="MSTRStyle.Todos.c21_8e710c8e-e33a-4c2d-8e81-b7657ce67fb9" xfId="32" xr:uid="{00000000-0005-0000-0000-000010000000}"/>
    <cellStyle name="MSTRStyle.Todos.c22_8ff8ac70-2ad1-4e8d-b36a-325273c52159" xfId="55" xr:uid="{FFD0639C-6CE7-4D97-BF9A-C36F9456FA99}"/>
    <cellStyle name="MSTRStyle.Todos.c22_928c9b5c-8086-45a3-84f9-2dc5b737a557" xfId="27" xr:uid="{00000000-0005-0000-0000-000011000000}"/>
    <cellStyle name="MSTRStyle.Todos.c23_54a66e00-ce3a-4eb4-88c1-b8c753f0ebd7" xfId="31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6" xr:uid="{94577577-EA40-4777-8DFF-4664E10FBDE0}"/>
    <cellStyle name="MSTRStyle.Todos.c25_afaf7586-66ac-412d-9de1-4c2909e1f8f2" xfId="30" xr:uid="{00000000-0005-0000-0000-000015000000}"/>
    <cellStyle name="MSTRStyle.Todos.c3_12fa68d3-c457-4d25-994e-10345e19d365" xfId="53" xr:uid="{AADFEBED-E0AA-44F6-928D-83E8D7C60954}"/>
    <cellStyle name="MSTRStyle.Todos.c3_643e75d5-5bb6-4a8f-a153-5b2cbad6ca42" xfId="25" xr:uid="{00000000-0005-0000-0000-000016000000}"/>
    <cellStyle name="MSTRStyle.Todos.c3_c7acf525-e5b5-4332-9962-8db109e784ea" xfId="41" xr:uid="{00000000-0005-0000-0000-000017000000}"/>
    <cellStyle name="MSTRStyle.Todos.c6_81bfd3a6-0f47-492d-bc49-79c4fbba0499" xfId="33" xr:uid="{00000000-0005-0000-0000-000018000000}"/>
    <cellStyle name="MSTRStyle.Todos.c664D86AC864EB7F1EB71E0963B03102A_d6ca69ad-1ff2-41b0-86b3-47dddf07b00e" xfId="63" xr:uid="{F255159D-A48B-44D7-9225-CCD3E9F88463}"/>
    <cellStyle name="MSTRStyle.Todos.c7_03c312d0-6154-48f1-b89c-a4374d2ac33b" xfId="49" xr:uid="{6BBFE342-F0F2-48F2-9896-0157F62CAB84}"/>
    <cellStyle name="MSTRStyle.Todos.c7_3e22e94e-2e1a-4be3-9466-931f06a0e26e" xfId="29" xr:uid="{00000000-0005-0000-0000-000019000000}"/>
    <cellStyle name="MSTRStyle.Todos.c7_4be24ddf-a144-4ef7-aea0-57f6cd34329f" xfId="38" xr:uid="{00000000-0005-0000-0000-00001A000000}"/>
    <cellStyle name="MSTRStyle.Todos.c9_1576a73a-c000-427e-9123-f88f4de52482" xfId="59" xr:uid="{FFA793B7-3F50-4199-9C4F-36F9CE1C1ACE}"/>
    <cellStyle name="MSTRStyle.Todos.c9_4640f619-39fa-4d3e-98e7-beb9e4e71513" xfId="52" xr:uid="{56729557-3780-46F1-A18D-DBCA35551066}"/>
    <cellStyle name="MSTRStyle.Todos.c9_5a51e594-f96b-4da2-8e95-9c20ffe12f9e" xfId="28" xr:uid="{00000000-0005-0000-0000-00001B000000}"/>
    <cellStyle name="MSTRStyle.Todos.cDD77117A8A407989421D709872706048_c40abd0a-78c5-4b85-96d0-e2bfe39c315b" xfId="64" xr:uid="{2AD10A2B-A4A2-44A4-A050-68779D459EBD}"/>
    <cellStyle name="MSTRStyle.Todos.cEF9EF78311EBE4B100000080EFC544CB_941934bb-17c9-4476-9644-f6ead735be79" xfId="48" xr:uid="{76DD4D36-5A03-4E73-B3A4-6DA9693F0638}"/>
    <cellStyle name="MSTRStyle.Todos.cEF9EFC7911EBE4B100000080EFC544CB_fada1520-e799-4241-8aee-b007ed03b5f8" xfId="50" xr:uid="{267C298B-0156-4CEE-9019-4AEB8EB4CEAB}"/>
    <cellStyle name="Normal" xfId="0" builtinId="0"/>
    <cellStyle name="Normal 10" xfId="46" xr:uid="{7058EDDB-2C98-440F-B7DB-70A68D35EAE7}"/>
    <cellStyle name="Normal 11" xfId="57" xr:uid="{58FEF1AE-EFAA-4806-BFE1-A7F55B564B3A}"/>
    <cellStyle name="Normal 12" xfId="58" xr:uid="{E8335E95-8B56-4206-8E80-4F2445F731AF}"/>
    <cellStyle name="Normal 13" xfId="65" xr:uid="{C957844D-8DC2-4C4B-BEB9-9D535B6D8A6B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2 3" xfId="66" xr:uid="{103AEBF6-3868-4D6C-B780-F735F7222CC8}"/>
    <cellStyle name="Normal 3" xfId="3" xr:uid="{00000000-0005-0000-0000-000020000000}"/>
    <cellStyle name="Normal 3 2" xfId="8" xr:uid="{00000000-0005-0000-0000-000021000000}"/>
    <cellStyle name="Normal 3 3" xfId="68" xr:uid="{B41F1C69-EEC2-4F59-943A-04BD1E68B27F}"/>
    <cellStyle name="Normal 4" xfId="5" xr:uid="{00000000-0005-0000-0000-000022000000}"/>
    <cellStyle name="Normal 4 2" xfId="7" xr:uid="{00000000-0005-0000-0000-000023000000}"/>
    <cellStyle name="Normal 4 3" xfId="69" xr:uid="{7A55CF8B-7F18-47C0-9A22-EDF2118FD19B}"/>
    <cellStyle name="Normal 5" xfId="12" xr:uid="{00000000-0005-0000-0000-000024000000}"/>
    <cellStyle name="Normal 5 2" xfId="71" xr:uid="{F8AC34AB-CB87-4499-A508-74D7482835F6}"/>
    <cellStyle name="Normal 6" xfId="35" xr:uid="{00000000-0005-0000-0000-000025000000}"/>
    <cellStyle name="Normal 7" xfId="2" xr:uid="{00000000-0005-0000-0000-000026000000}"/>
    <cellStyle name="Normal 8" xfId="36" xr:uid="{00000000-0005-0000-0000-000027000000}"/>
    <cellStyle name="Normal 9" xfId="37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  <cellStyle name="Porcentaje 2" xfId="70" xr:uid="{AD4AAB84-590A-460D-A351-C7FF0233CEA2}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B45C24D-6D9C-48B0-A0AE-0CE8249880B0}"/>
  </tableStyles>
  <colors>
    <mruColors>
      <color rgb="FF004563"/>
      <color rgb="FFED7D31"/>
      <color rgb="FF44B114"/>
      <color rgb="FF385723"/>
      <color rgb="FFE48500"/>
      <color rgb="FF03738B"/>
      <color rgb="FF9A5CBC"/>
      <color rgb="FFCFA2CA"/>
      <color rgb="FF5B9BD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700A-4484-860A-84A5297EFAFD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Pt>
            <c:idx val="12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700A-4484-860A-84A5297EFAFD}"/>
              </c:ext>
            </c:extLst>
          </c:dPt>
          <c:dLbls>
            <c:dLbl>
              <c:idx val="0"/>
              <c:layout>
                <c:manualLayout>
                  <c:x val="5.468719267234453E-2"/>
                  <c:y val="-0.14828766404199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12972302747870801"/>
                  <c:y val="-9.880098321043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836485428693552"/>
                  <c:y val="-4.9672996757758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75594156028071"/>
                      <c:h val="0.15469301631413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941794595819407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0397810533022"/>
                      <c:h val="0.14946425814420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00A-4484-860A-84A5297EFAFD}"/>
                </c:ext>
              </c:extLst>
            </c:dLbl>
            <c:dLbl>
              <c:idx val="4"/>
              <c:layout>
                <c:manualLayout>
                  <c:x val="0.17872908545032251"/>
                  <c:y val="6.30588235294116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1490359609234588"/>
                  <c:y val="0.155735680098811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58669452032"/>
                      <c:h val="0.171425042457928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9.6962129733783278E-2"/>
                  <c:y val="0.282666666666666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4.0467762293670195E-3"/>
                  <c:y val="0.18373856209150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11342631509944705"/>
                  <c:y val="0.116130718954248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dLbl>
              <c:idx val="12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00A-4484-860A-84A5297EFA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Dat_01!$A$34:$A$46</c:f>
              <c:strCache>
                <c:ptCount val="13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Fuel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Hidráulica</c:v>
                </c:pt>
                <c:pt idx="10">
                  <c:v>Solar fotovoltaica</c:v>
                </c:pt>
                <c:pt idx="11">
                  <c:v>Solar térmica</c:v>
                </c:pt>
                <c:pt idx="12">
                  <c:v>Otras renovables</c:v>
                </c:pt>
              </c:strCache>
            </c:strRef>
          </c:cat>
          <c:val>
            <c:numRef>
              <c:f>Dat_01!$C$34:$C$46</c:f>
              <c:numCache>
                <c:formatCode>#,##0.0</c:formatCode>
                <c:ptCount val="13"/>
                <c:pt idx="0">
                  <c:v>5.1717284526586909</c:v>
                </c:pt>
                <c:pt idx="1">
                  <c:v>0.91418220263687044</c:v>
                </c:pt>
                <c:pt idx="2">
                  <c:v>17.847690994225694</c:v>
                </c:pt>
                <c:pt idx="3">
                  <c:v>0.40828976220192359</c:v>
                </c:pt>
                <c:pt idx="4">
                  <c:v>3.7483028957194553</c:v>
                </c:pt>
                <c:pt idx="5">
                  <c:v>5.7768112861266846E-3</c:v>
                </c:pt>
                <c:pt idx="6">
                  <c:v>0.27484578481386168</c:v>
                </c:pt>
                <c:pt idx="7">
                  <c:v>9.5646192146495626E-2</c:v>
                </c:pt>
                <c:pt idx="8">
                  <c:v>23.854518556300039</c:v>
                </c:pt>
                <c:pt idx="9">
                  <c:v>12.406518642087157</c:v>
                </c:pt>
                <c:pt idx="10">
                  <c:v>32.78411608181527</c:v>
                </c:pt>
                <c:pt idx="11">
                  <c:v>1.6718767639974663</c:v>
                </c:pt>
                <c:pt idx="12">
                  <c:v>0.81650686011093998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4096.3802539999997</c:v>
                </c:pt>
                <c:pt idx="1">
                  <c:v>5062.9826640000001</c:v>
                </c:pt>
                <c:pt idx="2">
                  <c:v>5094.8395760000003</c:v>
                </c:pt>
                <c:pt idx="3">
                  <c:v>4538.2160970000004</c:v>
                </c:pt>
                <c:pt idx="4">
                  <c:v>3695.7997660000001</c:v>
                </c:pt>
                <c:pt idx="5">
                  <c:v>3682.6770540000002</c:v>
                </c:pt>
                <c:pt idx="6">
                  <c:v>4820.1998670000003</c:v>
                </c:pt>
                <c:pt idx="7">
                  <c:v>5248.5547820000002</c:v>
                </c:pt>
                <c:pt idx="8">
                  <c:v>4031.6053809999999</c:v>
                </c:pt>
                <c:pt idx="9">
                  <c:v>3921.0966309999999</c:v>
                </c:pt>
                <c:pt idx="10">
                  <c:v>3891.829761</c:v>
                </c:pt>
                <c:pt idx="11">
                  <c:v>3758.5657219999998</c:v>
                </c:pt>
                <c:pt idx="12">
                  <c:v>4457.5635389999998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1"/>
          <c:tx>
            <c:strRef>
              <c:f>Dat_01!$A$148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154.141783</c:v>
                </c:pt>
                <c:pt idx="1">
                  <c:v>105.938849</c:v>
                </c:pt>
                <c:pt idx="2">
                  <c:v>1.1E-4</c:v>
                </c:pt>
                <c:pt idx="3">
                  <c:v>7.238918</c:v>
                </c:pt>
                <c:pt idx="4">
                  <c:v>20.979158999999999</c:v>
                </c:pt>
                <c:pt idx="5">
                  <c:v>5.3887809999999998</c:v>
                </c:pt>
                <c:pt idx="6">
                  <c:v>46.750101000000001</c:v>
                </c:pt>
                <c:pt idx="7">
                  <c:v>20.188559000000001</c:v>
                </c:pt>
                <c:pt idx="8">
                  <c:v>1.0399999999999999E-4</c:v>
                </c:pt>
                <c:pt idx="9">
                  <c:v>13.306047</c:v>
                </c:pt>
                <c:pt idx="10">
                  <c:v>1.06E-4</c:v>
                </c:pt>
                <c:pt idx="11">
                  <c:v>81.257174000000006</c:v>
                </c:pt>
                <c:pt idx="12">
                  <c:v>13.074674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4"/>
          <c:order val="2"/>
          <c:tx>
            <c:strRef>
              <c:f>Dat_01!$A$149</c:f>
              <c:strCache>
                <c:ptCount val="1"/>
                <c:pt idx="0">
                  <c:v>Turbina de vapor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0</c:v>
                </c:pt>
                <c:pt idx="1">
                  <c:v>108.616974</c:v>
                </c:pt>
                <c:pt idx="2">
                  <c:v>164.26569699999999</c:v>
                </c:pt>
                <c:pt idx="3">
                  <c:v>185.05953700000001</c:v>
                </c:pt>
                <c:pt idx="4">
                  <c:v>209.152976</c:v>
                </c:pt>
                <c:pt idx="5">
                  <c:v>214.49252799999999</c:v>
                </c:pt>
                <c:pt idx="6">
                  <c:v>241.55075199999999</c:v>
                </c:pt>
                <c:pt idx="7">
                  <c:v>186.63329300000001</c:v>
                </c:pt>
                <c:pt idx="8">
                  <c:v>209.25363999999999</c:v>
                </c:pt>
                <c:pt idx="9">
                  <c:v>208.618664</c:v>
                </c:pt>
                <c:pt idx="10">
                  <c:v>206.26164</c:v>
                </c:pt>
                <c:pt idx="11">
                  <c:v>257.15153600000002</c:v>
                </c:pt>
                <c:pt idx="12">
                  <c:v>209.14115200000001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B-4DFF-AD53-7B07EBBCC20E}"/>
            </c:ext>
          </c:extLst>
        </c:ser>
        <c:ser>
          <c:idx val="1"/>
          <c:order val="3"/>
          <c:tx>
            <c:strRef>
              <c:f>Dat_01!$A$150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3981.0300649999999</c:v>
                </c:pt>
                <c:pt idx="1">
                  <c:v>3578.6064449999999</c:v>
                </c:pt>
                <c:pt idx="2">
                  <c:v>3538.346309</c:v>
                </c:pt>
                <c:pt idx="3">
                  <c:v>3151.5799659999998</c:v>
                </c:pt>
                <c:pt idx="4">
                  <c:v>4581.486911</c:v>
                </c:pt>
                <c:pt idx="5">
                  <c:v>3588.4775730000001</c:v>
                </c:pt>
                <c:pt idx="6">
                  <c:v>4302.7353249999996</c:v>
                </c:pt>
                <c:pt idx="7">
                  <c:v>3511.7983129999998</c:v>
                </c:pt>
                <c:pt idx="8">
                  <c:v>2253.7640289999999</c:v>
                </c:pt>
                <c:pt idx="9">
                  <c:v>2784.9373479999999</c:v>
                </c:pt>
                <c:pt idx="10">
                  <c:v>2318.3345260000001</c:v>
                </c:pt>
                <c:pt idx="11">
                  <c:v>2561.0188589999998</c:v>
                </c:pt>
                <c:pt idx="12">
                  <c:v>3233.6205610000002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Dat_01!$B$155:$N$155</c:f>
              <c:numCache>
                <c:formatCode>#,##0.0</c:formatCode>
                <c:ptCount val="13"/>
                <c:pt idx="0">
                  <c:v>1373.6147100000001</c:v>
                </c:pt>
                <c:pt idx="1">
                  <c:v>1307.633519</c:v>
                </c:pt>
                <c:pt idx="2">
                  <c:v>1234.7954110000001</c:v>
                </c:pt>
                <c:pt idx="3">
                  <c:v>1270.1277889999999</c:v>
                </c:pt>
                <c:pt idx="4">
                  <c:v>1374.8885310000001</c:v>
                </c:pt>
                <c:pt idx="5">
                  <c:v>1228.366734</c:v>
                </c:pt>
                <c:pt idx="6">
                  <c:v>1409.844126</c:v>
                </c:pt>
                <c:pt idx="7">
                  <c:v>1255.9125879999999</c:v>
                </c:pt>
                <c:pt idx="8">
                  <c:v>602.60675200000003</c:v>
                </c:pt>
                <c:pt idx="9">
                  <c:v>624.58241899999996</c:v>
                </c:pt>
                <c:pt idx="10">
                  <c:v>916.70173999999997</c:v>
                </c:pt>
                <c:pt idx="11">
                  <c:v>1118.815265</c:v>
                </c:pt>
                <c:pt idx="12">
                  <c:v>1131.777734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Dat_01!$A$156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Dat_01!$B$156:$N$156</c:f>
              <c:numCache>
                <c:formatCode>#,##0.0</c:formatCode>
                <c:ptCount val="13"/>
                <c:pt idx="0">
                  <c:v>58.682316999999998</c:v>
                </c:pt>
                <c:pt idx="1">
                  <c:v>83.450536</c:v>
                </c:pt>
                <c:pt idx="2">
                  <c:v>93.167946499999999</c:v>
                </c:pt>
                <c:pt idx="3">
                  <c:v>69.587221</c:v>
                </c:pt>
                <c:pt idx="4">
                  <c:v>85.204098999999999</c:v>
                </c:pt>
                <c:pt idx="5">
                  <c:v>85.869997499999997</c:v>
                </c:pt>
                <c:pt idx="6">
                  <c:v>93.230959999999996</c:v>
                </c:pt>
                <c:pt idx="7">
                  <c:v>81.796972499999995</c:v>
                </c:pt>
                <c:pt idx="8">
                  <c:v>53.673181499999998</c:v>
                </c:pt>
                <c:pt idx="9">
                  <c:v>58.489105000000002</c:v>
                </c:pt>
                <c:pt idx="10">
                  <c:v>65.732164499999996</c:v>
                </c:pt>
                <c:pt idx="11">
                  <c:v>61.533473999999998</c:v>
                </c:pt>
                <c:pt idx="12">
                  <c:v>72.343810500000004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7745109974551132"/>
          <c:h val="5.9406124654586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Dat_01!$Y$182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29B3-4C11-AD99-0E249D39EF82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0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92F-4069-8C92-BF509A75B6BB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A30-4373-86F0-F15C2256BC81}"/>
              </c:ext>
            </c:extLst>
          </c:dPt>
          <c:dPt>
            <c:idx val="2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Dat_01!$Y$184:$Y$213</c:f>
              <c:numCache>
                <c:formatCode>0_)</c:formatCode>
                <c:ptCount val="30"/>
                <c:pt idx="0">
                  <c:v>91.992691000000008</c:v>
                </c:pt>
                <c:pt idx="1">
                  <c:v>159.98703</c:v>
                </c:pt>
                <c:pt idx="2">
                  <c:v>129.65850399999999</c:v>
                </c:pt>
                <c:pt idx="3">
                  <c:v>163.07636400000001</c:v>
                </c:pt>
                <c:pt idx="4">
                  <c:v>131.94204199999999</c:v>
                </c:pt>
                <c:pt idx="5">
                  <c:v>85.224812999999997</c:v>
                </c:pt>
                <c:pt idx="6">
                  <c:v>109.512045</c:v>
                </c:pt>
                <c:pt idx="7">
                  <c:v>105.01142</c:v>
                </c:pt>
                <c:pt idx="8">
                  <c:v>179.32679300000001</c:v>
                </c:pt>
                <c:pt idx="9">
                  <c:v>196.55687700000001</c:v>
                </c:pt>
                <c:pt idx="10">
                  <c:v>197.934606</c:v>
                </c:pt>
                <c:pt idx="11">
                  <c:v>177.716455</c:v>
                </c:pt>
                <c:pt idx="12">
                  <c:v>105.21583100000001</c:v>
                </c:pt>
                <c:pt idx="13">
                  <c:v>69.306263000000001</c:v>
                </c:pt>
                <c:pt idx="14">
                  <c:v>59.169546000000004</c:v>
                </c:pt>
                <c:pt idx="15">
                  <c:v>41.158324999999998</c:v>
                </c:pt>
                <c:pt idx="16">
                  <c:v>83.787498000000014</c:v>
                </c:pt>
                <c:pt idx="17">
                  <c:v>110.678595</c:v>
                </c:pt>
                <c:pt idx="18">
                  <c:v>112.572582</c:v>
                </c:pt>
                <c:pt idx="19">
                  <c:v>141.17956099999998</c:v>
                </c:pt>
                <c:pt idx="20">
                  <c:v>159.63430700000001</c:v>
                </c:pt>
                <c:pt idx="21">
                  <c:v>140.94330100000002</c:v>
                </c:pt>
                <c:pt idx="22">
                  <c:v>111.28420699999999</c:v>
                </c:pt>
                <c:pt idx="23">
                  <c:v>116.426282</c:v>
                </c:pt>
                <c:pt idx="24">
                  <c:v>156.086152</c:v>
                </c:pt>
                <c:pt idx="25">
                  <c:v>99.887316999999996</c:v>
                </c:pt>
                <c:pt idx="26">
                  <c:v>91.929367999999997</c:v>
                </c:pt>
                <c:pt idx="27">
                  <c:v>103.798086</c:v>
                </c:pt>
                <c:pt idx="28">
                  <c:v>180.241894</c:v>
                </c:pt>
                <c:pt idx="29">
                  <c:v>134.497919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Dat_01!$X$182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0"/>
                <c:pt idx="0">
                  <c:v>12.729426626921564</c:v>
                </c:pt>
                <c:pt idx="1">
                  <c:v>21.721221673470055</c:v>
                </c:pt>
                <c:pt idx="2">
                  <c:v>17.77244464363903</c:v>
                </c:pt>
                <c:pt idx="3">
                  <c:v>22.838218870061826</c:v>
                </c:pt>
                <c:pt idx="4">
                  <c:v>18.454106370507809</c:v>
                </c:pt>
                <c:pt idx="5">
                  <c:v>13.571562411862562</c:v>
                </c:pt>
                <c:pt idx="6">
                  <c:v>18.19445110327063</c:v>
                </c:pt>
                <c:pt idx="7">
                  <c:v>15.112183372707596</c:v>
                </c:pt>
                <c:pt idx="8">
                  <c:v>24.52427448585917</c:v>
                </c:pt>
                <c:pt idx="9">
                  <c:v>26.500637618416278</c:v>
                </c:pt>
                <c:pt idx="10">
                  <c:v>26.307281903536495</c:v>
                </c:pt>
                <c:pt idx="11">
                  <c:v>23.678350151789122</c:v>
                </c:pt>
                <c:pt idx="12">
                  <c:v>15.846162955385202</c:v>
                </c:pt>
                <c:pt idx="13">
                  <c:v>11.05188179671331</c:v>
                </c:pt>
                <c:pt idx="14">
                  <c:v>7.9784663432203402</c:v>
                </c:pt>
                <c:pt idx="15">
                  <c:v>5.2235408856921</c:v>
                </c:pt>
                <c:pt idx="16">
                  <c:v>10.277571045241691</c:v>
                </c:pt>
                <c:pt idx="17">
                  <c:v>13.220352916648674</c:v>
                </c:pt>
                <c:pt idx="18">
                  <c:v>13.401344880711271</c:v>
                </c:pt>
                <c:pt idx="19">
                  <c:v>18.385582684746396</c:v>
                </c:pt>
                <c:pt idx="20">
                  <c:v>20.758490268378498</c:v>
                </c:pt>
                <c:pt idx="21">
                  <c:v>16.252205345493135</c:v>
                </c:pt>
                <c:pt idx="22">
                  <c:v>12.634675849805943</c:v>
                </c:pt>
                <c:pt idx="23">
                  <c:v>13.438639447625722</c:v>
                </c:pt>
                <c:pt idx="24">
                  <c:v>17.670973107446304</c:v>
                </c:pt>
                <c:pt idx="25">
                  <c:v>11.575898002722051</c:v>
                </c:pt>
                <c:pt idx="26">
                  <c:v>11.399563368440816</c:v>
                </c:pt>
                <c:pt idx="27">
                  <c:v>14.42142239608652</c:v>
                </c:pt>
                <c:pt idx="28">
                  <c:v>20.871103121001877</c:v>
                </c:pt>
                <c:pt idx="29">
                  <c:v>15.377871487419933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3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3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5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4'!$C$2:$C$762</c:f>
              <c:numCache>
                <c:formatCode>#,##0</c:formatCode>
                <c:ptCount val="761"/>
                <c:pt idx="0">
                  <c:v>259.83351999999996</c:v>
                </c:pt>
                <c:pt idx="1">
                  <c:v>224.0539</c:v>
                </c:pt>
                <c:pt idx="2">
                  <c:v>186.4083</c:v>
                </c:pt>
                <c:pt idx="3">
                  <c:v>66.230172999999994</c:v>
                </c:pt>
                <c:pt idx="4">
                  <c:v>69.742851999999999</c:v>
                </c:pt>
                <c:pt idx="5">
                  <c:v>157.81811300000001</c:v>
                </c:pt>
                <c:pt idx="6">
                  <c:v>202.68652</c:v>
                </c:pt>
                <c:pt idx="7">
                  <c:v>166.63429199999999</c:v>
                </c:pt>
                <c:pt idx="8">
                  <c:v>241.083168</c:v>
                </c:pt>
                <c:pt idx="9">
                  <c:v>220.85818700000002</c:v>
                </c:pt>
                <c:pt idx="10">
                  <c:v>177.21823799999999</c:v>
                </c:pt>
                <c:pt idx="11">
                  <c:v>178.976552</c:v>
                </c:pt>
                <c:pt idx="12">
                  <c:v>100.22699300000001</c:v>
                </c:pt>
                <c:pt idx="13">
                  <c:v>152.37786499999999</c:v>
                </c:pt>
                <c:pt idx="14">
                  <c:v>130.59935200000001</c:v>
                </c:pt>
                <c:pt idx="15">
                  <c:v>93.94324499999999</c:v>
                </c:pt>
                <c:pt idx="16">
                  <c:v>140.66970200000003</c:v>
                </c:pt>
                <c:pt idx="17">
                  <c:v>132.59820000000002</c:v>
                </c:pt>
                <c:pt idx="18">
                  <c:v>93.237751999999986</c:v>
                </c:pt>
                <c:pt idx="19">
                  <c:v>138.92069900000001</c:v>
                </c:pt>
                <c:pt idx="20">
                  <c:v>73.637070000000008</c:v>
                </c:pt>
                <c:pt idx="21">
                  <c:v>103.73947600000001</c:v>
                </c:pt>
                <c:pt idx="22">
                  <c:v>148.17534900000001</c:v>
                </c:pt>
                <c:pt idx="23">
                  <c:v>124.193652</c:v>
                </c:pt>
                <c:pt idx="24">
                  <c:v>93.912762000000001</c:v>
                </c:pt>
                <c:pt idx="25">
                  <c:v>118.845916</c:v>
                </c:pt>
                <c:pt idx="26">
                  <c:v>130.9426</c:v>
                </c:pt>
                <c:pt idx="27">
                  <c:v>185.431545</c:v>
                </c:pt>
                <c:pt idx="28">
                  <c:v>156.818172</c:v>
                </c:pt>
                <c:pt idx="29">
                  <c:v>56.954242000000008</c:v>
                </c:pt>
                <c:pt idx="30">
                  <c:v>183.07220500000003</c:v>
                </c:pt>
                <c:pt idx="31">
                  <c:v>180.22424699999999</c:v>
                </c:pt>
                <c:pt idx="32">
                  <c:v>139.905495</c:v>
                </c:pt>
                <c:pt idx="33">
                  <c:v>140.02259599999999</c:v>
                </c:pt>
                <c:pt idx="34">
                  <c:v>150.14626499999997</c:v>
                </c:pt>
                <c:pt idx="35">
                  <c:v>153.765837</c:v>
                </c:pt>
                <c:pt idx="36">
                  <c:v>92.287915999999996</c:v>
                </c:pt>
                <c:pt idx="37">
                  <c:v>129.90347700000001</c:v>
                </c:pt>
                <c:pt idx="38">
                  <c:v>135.30928999999998</c:v>
                </c:pt>
                <c:pt idx="39">
                  <c:v>68.314876999999996</c:v>
                </c:pt>
                <c:pt idx="40">
                  <c:v>124.845597</c:v>
                </c:pt>
                <c:pt idx="41">
                  <c:v>190.27972799999998</c:v>
                </c:pt>
                <c:pt idx="42">
                  <c:v>132.69847000000001</c:v>
                </c:pt>
                <c:pt idx="43">
                  <c:v>101.11832100000001</c:v>
                </c:pt>
                <c:pt idx="44">
                  <c:v>190.482573</c:v>
                </c:pt>
                <c:pt idx="45">
                  <c:v>98.862234999999998</c:v>
                </c:pt>
                <c:pt idx="46">
                  <c:v>104.94921000000001</c:v>
                </c:pt>
                <c:pt idx="47">
                  <c:v>72.424884999999989</c:v>
                </c:pt>
                <c:pt idx="48">
                  <c:v>59.236810000000006</c:v>
                </c:pt>
                <c:pt idx="49">
                  <c:v>154.67245600000001</c:v>
                </c:pt>
                <c:pt idx="50">
                  <c:v>191.23055400000001</c:v>
                </c:pt>
                <c:pt idx="51">
                  <c:v>164.59027899999998</c:v>
                </c:pt>
                <c:pt idx="52">
                  <c:v>127.680735</c:v>
                </c:pt>
                <c:pt idx="53">
                  <c:v>131.10322099999999</c:v>
                </c:pt>
                <c:pt idx="54">
                  <c:v>145.74753200000001</c:v>
                </c:pt>
                <c:pt idx="55">
                  <c:v>104.143731</c:v>
                </c:pt>
                <c:pt idx="56">
                  <c:v>108.45381</c:v>
                </c:pt>
                <c:pt idx="57">
                  <c:v>159.02018300000003</c:v>
                </c:pt>
                <c:pt idx="58">
                  <c:v>127.01384200000001</c:v>
                </c:pt>
                <c:pt idx="59">
                  <c:v>161.54082399999999</c:v>
                </c:pt>
                <c:pt idx="60">
                  <c:v>75.948722000000004</c:v>
                </c:pt>
                <c:pt idx="61">
                  <c:v>110.714079</c:v>
                </c:pt>
                <c:pt idx="62">
                  <c:v>194.56742799999998</c:v>
                </c:pt>
                <c:pt idx="63">
                  <c:v>129.686756</c:v>
                </c:pt>
                <c:pt idx="64">
                  <c:v>87.72823600000001</c:v>
                </c:pt>
                <c:pt idx="65">
                  <c:v>71.729529999999997</c:v>
                </c:pt>
                <c:pt idx="66">
                  <c:v>102.846844</c:v>
                </c:pt>
                <c:pt idx="67">
                  <c:v>146.872434</c:v>
                </c:pt>
                <c:pt idx="68">
                  <c:v>117.85944200000002</c:v>
                </c:pt>
                <c:pt idx="69">
                  <c:v>104.752955</c:v>
                </c:pt>
                <c:pt idx="70">
                  <c:v>131.54880799999998</c:v>
                </c:pt>
                <c:pt idx="71">
                  <c:v>137.39475300000001</c:v>
                </c:pt>
                <c:pt idx="72">
                  <c:v>91.825952999999998</c:v>
                </c:pt>
                <c:pt idx="73">
                  <c:v>103.752116</c:v>
                </c:pt>
                <c:pt idx="74">
                  <c:v>156.817002</c:v>
                </c:pt>
                <c:pt idx="75">
                  <c:v>159.07435800000002</c:v>
                </c:pt>
                <c:pt idx="76">
                  <c:v>112.051107</c:v>
                </c:pt>
                <c:pt idx="77">
                  <c:v>106.82991200000001</c:v>
                </c:pt>
                <c:pt idx="78">
                  <c:v>144.614554</c:v>
                </c:pt>
                <c:pt idx="79">
                  <c:v>137.98127200000002</c:v>
                </c:pt>
                <c:pt idx="80">
                  <c:v>124.72519100000001</c:v>
                </c:pt>
                <c:pt idx="81">
                  <c:v>173.32077200000001</c:v>
                </c:pt>
                <c:pt idx="82">
                  <c:v>55.629601000000001</c:v>
                </c:pt>
                <c:pt idx="83">
                  <c:v>76.594407000000004</c:v>
                </c:pt>
                <c:pt idx="84">
                  <c:v>162.84900199999998</c:v>
                </c:pt>
                <c:pt idx="85">
                  <c:v>193.33785999999998</c:v>
                </c:pt>
                <c:pt idx="86">
                  <c:v>124.623966</c:v>
                </c:pt>
                <c:pt idx="87">
                  <c:v>50.358134</c:v>
                </c:pt>
                <c:pt idx="88">
                  <c:v>100.16805599999999</c:v>
                </c:pt>
                <c:pt idx="89">
                  <c:v>143.79440700000001</c:v>
                </c:pt>
                <c:pt idx="90">
                  <c:v>137.00482099999999</c:v>
                </c:pt>
                <c:pt idx="91">
                  <c:v>117.602396</c:v>
                </c:pt>
                <c:pt idx="92">
                  <c:v>38.287339000000003</c:v>
                </c:pt>
                <c:pt idx="93">
                  <c:v>84.727943999999994</c:v>
                </c:pt>
                <c:pt idx="94">
                  <c:v>145.349459</c:v>
                </c:pt>
                <c:pt idx="95">
                  <c:v>186.47451100000001</c:v>
                </c:pt>
                <c:pt idx="96">
                  <c:v>110.478555</c:v>
                </c:pt>
                <c:pt idx="97">
                  <c:v>140.67824400000001</c:v>
                </c:pt>
                <c:pt idx="98">
                  <c:v>85.718754999999987</c:v>
                </c:pt>
                <c:pt idx="99">
                  <c:v>96.344214999999991</c:v>
                </c:pt>
                <c:pt idx="100">
                  <c:v>138.56027799999998</c:v>
                </c:pt>
                <c:pt idx="101">
                  <c:v>157.10657199999997</c:v>
                </c:pt>
                <c:pt idx="102">
                  <c:v>169.09022099999999</c:v>
                </c:pt>
                <c:pt idx="103">
                  <c:v>184.00566500000002</c:v>
                </c:pt>
                <c:pt idx="104">
                  <c:v>246.69072200000002</c:v>
                </c:pt>
                <c:pt idx="105">
                  <c:v>162.56204499999998</c:v>
                </c:pt>
                <c:pt idx="106">
                  <c:v>180.21814700000002</c:v>
                </c:pt>
                <c:pt idx="107">
                  <c:v>258.33612900000003</c:v>
                </c:pt>
                <c:pt idx="108">
                  <c:v>267.09059000000002</c:v>
                </c:pt>
                <c:pt idx="109">
                  <c:v>170.14048499999998</c:v>
                </c:pt>
                <c:pt idx="110">
                  <c:v>98.345635999999999</c:v>
                </c:pt>
                <c:pt idx="111">
                  <c:v>83.848354999999998</c:v>
                </c:pt>
                <c:pt idx="112">
                  <c:v>102.84054699999999</c:v>
                </c:pt>
                <c:pt idx="113">
                  <c:v>48.319129000000004</c:v>
                </c:pt>
                <c:pt idx="114">
                  <c:v>82.914781999999988</c:v>
                </c:pt>
                <c:pt idx="115">
                  <c:v>116.58649399999999</c:v>
                </c:pt>
                <c:pt idx="116">
                  <c:v>263.25730600000003</c:v>
                </c:pt>
                <c:pt idx="117">
                  <c:v>350.39831500000003</c:v>
                </c:pt>
                <c:pt idx="118">
                  <c:v>250.77285800000001</c:v>
                </c:pt>
                <c:pt idx="119">
                  <c:v>123.24835899999999</c:v>
                </c:pt>
                <c:pt idx="120">
                  <c:v>133.95177999999999</c:v>
                </c:pt>
                <c:pt idx="121">
                  <c:v>71.803145000000001</c:v>
                </c:pt>
                <c:pt idx="122">
                  <c:v>129.46452100000002</c:v>
                </c:pt>
                <c:pt idx="123">
                  <c:v>227.67573999999999</c:v>
                </c:pt>
                <c:pt idx="124">
                  <c:v>228.86594999999997</c:v>
                </c:pt>
                <c:pt idx="125">
                  <c:v>130.383307</c:v>
                </c:pt>
                <c:pt idx="126">
                  <c:v>146.60773999999998</c:v>
                </c:pt>
                <c:pt idx="127">
                  <c:v>217.86871600000001</c:v>
                </c:pt>
                <c:pt idx="128">
                  <c:v>287.012494</c:v>
                </c:pt>
                <c:pt idx="129">
                  <c:v>330.74746599999997</c:v>
                </c:pt>
                <c:pt idx="130">
                  <c:v>332.261639</c:v>
                </c:pt>
                <c:pt idx="131">
                  <c:v>157.38539699999998</c:v>
                </c:pt>
                <c:pt idx="132">
                  <c:v>128.78697199999999</c:v>
                </c:pt>
                <c:pt idx="133">
                  <c:v>164.63576699999999</c:v>
                </c:pt>
                <c:pt idx="134">
                  <c:v>72.950097</c:v>
                </c:pt>
                <c:pt idx="135">
                  <c:v>81.066305</c:v>
                </c:pt>
                <c:pt idx="136">
                  <c:v>199.62093100000001</c:v>
                </c:pt>
                <c:pt idx="137">
                  <c:v>233.082168</c:v>
                </c:pt>
                <c:pt idx="138">
                  <c:v>244.566823</c:v>
                </c:pt>
                <c:pt idx="139">
                  <c:v>246.56920399999998</c:v>
                </c:pt>
                <c:pt idx="140">
                  <c:v>171.43222599999999</c:v>
                </c:pt>
                <c:pt idx="141">
                  <c:v>117.052217</c:v>
                </c:pt>
                <c:pt idx="142">
                  <c:v>83.544494</c:v>
                </c:pt>
                <c:pt idx="143">
                  <c:v>162.68180999999998</c:v>
                </c:pt>
                <c:pt idx="144">
                  <c:v>120.46044999999999</c:v>
                </c:pt>
                <c:pt idx="145">
                  <c:v>175.40832800000001</c:v>
                </c:pt>
                <c:pt idx="146">
                  <c:v>151.21921499999999</c:v>
                </c:pt>
                <c:pt idx="147">
                  <c:v>141.51971399999999</c:v>
                </c:pt>
                <c:pt idx="148">
                  <c:v>95.29134599999999</c:v>
                </c:pt>
                <c:pt idx="149">
                  <c:v>199.63861899999998</c:v>
                </c:pt>
                <c:pt idx="150">
                  <c:v>263.63946000000004</c:v>
                </c:pt>
                <c:pt idx="151">
                  <c:v>245.531474</c:v>
                </c:pt>
                <c:pt idx="152">
                  <c:v>126.290593</c:v>
                </c:pt>
                <c:pt idx="153">
                  <c:v>76.932117000000019</c:v>
                </c:pt>
                <c:pt idx="154">
                  <c:v>55.113553000000003</c:v>
                </c:pt>
                <c:pt idx="155">
                  <c:v>125.16685799999999</c:v>
                </c:pt>
                <c:pt idx="156">
                  <c:v>112.63445299999999</c:v>
                </c:pt>
                <c:pt idx="157">
                  <c:v>36.589557999999997</c:v>
                </c:pt>
                <c:pt idx="158">
                  <c:v>51.480131</c:v>
                </c:pt>
                <c:pt idx="159">
                  <c:v>81.292059999999992</c:v>
                </c:pt>
                <c:pt idx="160">
                  <c:v>89.654990999999995</c:v>
                </c:pt>
                <c:pt idx="161">
                  <c:v>133.47285499999998</c:v>
                </c:pt>
                <c:pt idx="162">
                  <c:v>163.896174</c:v>
                </c:pt>
                <c:pt idx="163">
                  <c:v>244.38331500000001</c:v>
                </c:pt>
                <c:pt idx="164">
                  <c:v>298.02203300000002</c:v>
                </c:pt>
                <c:pt idx="165">
                  <c:v>251.33041499999999</c:v>
                </c:pt>
                <c:pt idx="166">
                  <c:v>187.31915499999999</c:v>
                </c:pt>
                <c:pt idx="167">
                  <c:v>139.87597199999999</c:v>
                </c:pt>
                <c:pt idx="168">
                  <c:v>109.865499</c:v>
                </c:pt>
                <c:pt idx="169">
                  <c:v>56.964173000000002</c:v>
                </c:pt>
                <c:pt idx="170">
                  <c:v>39.679396000000004</c:v>
                </c:pt>
                <c:pt idx="171">
                  <c:v>144.50193400000001</c:v>
                </c:pt>
                <c:pt idx="172">
                  <c:v>338.69116100000002</c:v>
                </c:pt>
                <c:pt idx="173">
                  <c:v>440.72434900000002</c:v>
                </c:pt>
                <c:pt idx="174">
                  <c:v>259.41947999999996</c:v>
                </c:pt>
                <c:pt idx="175">
                  <c:v>239.670705</c:v>
                </c:pt>
                <c:pt idx="176">
                  <c:v>327.21218599999997</c:v>
                </c:pt>
                <c:pt idx="177">
                  <c:v>295.491624</c:v>
                </c:pt>
                <c:pt idx="178">
                  <c:v>99.096762999999996</c:v>
                </c:pt>
                <c:pt idx="179">
                  <c:v>77.794535999999994</c:v>
                </c:pt>
                <c:pt idx="180">
                  <c:v>91.146317999999994</c:v>
                </c:pt>
                <c:pt idx="181">
                  <c:v>145.76431500000001</c:v>
                </c:pt>
                <c:pt idx="182">
                  <c:v>103.255352</c:v>
                </c:pt>
                <c:pt idx="183">
                  <c:v>85.145202999999995</c:v>
                </c:pt>
                <c:pt idx="184">
                  <c:v>70.583862999999994</c:v>
                </c:pt>
                <c:pt idx="185">
                  <c:v>129.19969500000002</c:v>
                </c:pt>
                <c:pt idx="186">
                  <c:v>240.06589</c:v>
                </c:pt>
                <c:pt idx="187">
                  <c:v>192.32162099999999</c:v>
                </c:pt>
                <c:pt idx="188">
                  <c:v>237.10754999999997</c:v>
                </c:pt>
                <c:pt idx="189">
                  <c:v>329.85263099999997</c:v>
                </c:pt>
                <c:pt idx="190">
                  <c:v>359.11033499999996</c:v>
                </c:pt>
                <c:pt idx="191">
                  <c:v>355.39784100000003</c:v>
                </c:pt>
                <c:pt idx="192">
                  <c:v>169.30434199999999</c:v>
                </c:pt>
                <c:pt idx="193">
                  <c:v>44.365141000000001</c:v>
                </c:pt>
                <c:pt idx="194">
                  <c:v>63.363847</c:v>
                </c:pt>
                <c:pt idx="195">
                  <c:v>29.603017000000001</c:v>
                </c:pt>
                <c:pt idx="196">
                  <c:v>108.996498</c:v>
                </c:pt>
                <c:pt idx="197">
                  <c:v>219.88327999999998</c:v>
                </c:pt>
                <c:pt idx="198">
                  <c:v>150.33350499999997</c:v>
                </c:pt>
                <c:pt idx="199">
                  <c:v>159.37333000000001</c:v>
                </c:pt>
                <c:pt idx="200">
                  <c:v>211.775566</c:v>
                </c:pt>
                <c:pt idx="201">
                  <c:v>360.16892099999995</c:v>
                </c:pt>
                <c:pt idx="202">
                  <c:v>238.08474900000002</c:v>
                </c:pt>
                <c:pt idx="203">
                  <c:v>172.26707399999998</c:v>
                </c:pt>
                <c:pt idx="204">
                  <c:v>266.21686399999999</c:v>
                </c:pt>
                <c:pt idx="205">
                  <c:v>345.87964699999998</c:v>
                </c:pt>
                <c:pt idx="206">
                  <c:v>280.852934</c:v>
                </c:pt>
                <c:pt idx="207">
                  <c:v>109.234211</c:v>
                </c:pt>
                <c:pt idx="208">
                  <c:v>57.149535999999998</c:v>
                </c:pt>
                <c:pt idx="209">
                  <c:v>94.643889999999999</c:v>
                </c:pt>
                <c:pt idx="210">
                  <c:v>52.416581000000001</c:v>
                </c:pt>
                <c:pt idx="211">
                  <c:v>29.812986000000002</c:v>
                </c:pt>
                <c:pt idx="212">
                  <c:v>32.461750000000002</c:v>
                </c:pt>
                <c:pt idx="213">
                  <c:v>28.700936000000002</c:v>
                </c:pt>
                <c:pt idx="214">
                  <c:v>96.073809999999995</c:v>
                </c:pt>
                <c:pt idx="215">
                  <c:v>163.738305</c:v>
                </c:pt>
                <c:pt idx="216">
                  <c:v>298.15848599999998</c:v>
                </c:pt>
                <c:pt idx="217">
                  <c:v>247.380731</c:v>
                </c:pt>
                <c:pt idx="218">
                  <c:v>326.85978299999999</c:v>
                </c:pt>
                <c:pt idx="219">
                  <c:v>292.55074400000001</c:v>
                </c:pt>
                <c:pt idx="220">
                  <c:v>325.64921400000003</c:v>
                </c:pt>
                <c:pt idx="221">
                  <c:v>347.93998699999997</c:v>
                </c:pt>
                <c:pt idx="222">
                  <c:v>367.20217500000001</c:v>
                </c:pt>
                <c:pt idx="223">
                  <c:v>304.77847500000001</c:v>
                </c:pt>
                <c:pt idx="224">
                  <c:v>326.51122800000002</c:v>
                </c:pt>
                <c:pt idx="225">
                  <c:v>284.02790400000004</c:v>
                </c:pt>
                <c:pt idx="226">
                  <c:v>220.21362999999997</c:v>
                </c:pt>
                <c:pt idx="227">
                  <c:v>113.02481399999999</c:v>
                </c:pt>
                <c:pt idx="228">
                  <c:v>165.49422799999999</c:v>
                </c:pt>
                <c:pt idx="229">
                  <c:v>196.177661</c:v>
                </c:pt>
                <c:pt idx="230">
                  <c:v>111.668159</c:v>
                </c:pt>
                <c:pt idx="231">
                  <c:v>47.329568000000002</c:v>
                </c:pt>
                <c:pt idx="232">
                  <c:v>97.645392999999999</c:v>
                </c:pt>
                <c:pt idx="233">
                  <c:v>112.335267</c:v>
                </c:pt>
                <c:pt idx="234">
                  <c:v>198.97339000000002</c:v>
                </c:pt>
                <c:pt idx="235">
                  <c:v>262.72833700000001</c:v>
                </c:pt>
                <c:pt idx="236">
                  <c:v>152.22953200000001</c:v>
                </c:pt>
                <c:pt idx="237">
                  <c:v>232.069152</c:v>
                </c:pt>
                <c:pt idx="238">
                  <c:v>298.78766100000001</c:v>
                </c:pt>
                <c:pt idx="239">
                  <c:v>307.81561699999997</c:v>
                </c:pt>
                <c:pt idx="240">
                  <c:v>395.08536300000003</c:v>
                </c:pt>
                <c:pt idx="241">
                  <c:v>365.613069</c:v>
                </c:pt>
                <c:pt idx="242">
                  <c:v>335.63021800000001</c:v>
                </c:pt>
                <c:pt idx="243">
                  <c:v>311.695176</c:v>
                </c:pt>
                <c:pt idx="244">
                  <c:v>202.28360000000001</c:v>
                </c:pt>
                <c:pt idx="245">
                  <c:v>164.034176</c:v>
                </c:pt>
                <c:pt idx="246">
                  <c:v>104.071662</c:v>
                </c:pt>
                <c:pt idx="247">
                  <c:v>98.976224000000002</c:v>
                </c:pt>
                <c:pt idx="248">
                  <c:v>54.098143</c:v>
                </c:pt>
                <c:pt idx="249">
                  <c:v>118.19268799999999</c:v>
                </c:pt>
                <c:pt idx="250">
                  <c:v>46.433995000000003</c:v>
                </c:pt>
                <c:pt idx="251">
                  <c:v>200.898404</c:v>
                </c:pt>
                <c:pt idx="252">
                  <c:v>164.69902599999998</c:v>
                </c:pt>
                <c:pt idx="253">
                  <c:v>105.061021</c:v>
                </c:pt>
                <c:pt idx="254">
                  <c:v>91.126620000000017</c:v>
                </c:pt>
                <c:pt idx="255">
                  <c:v>153.79465200000001</c:v>
                </c:pt>
                <c:pt idx="256">
                  <c:v>195.92666699999998</c:v>
                </c:pt>
                <c:pt idx="257">
                  <c:v>153.23369399999999</c:v>
                </c:pt>
                <c:pt idx="258">
                  <c:v>105.41158900000001</c:v>
                </c:pt>
                <c:pt idx="259">
                  <c:v>113.02801600000001</c:v>
                </c:pt>
                <c:pt idx="260">
                  <c:v>58.857105000000004</c:v>
                </c:pt>
                <c:pt idx="261">
                  <c:v>54.882724000000003</c:v>
                </c:pt>
                <c:pt idx="262">
                  <c:v>178.157702</c:v>
                </c:pt>
                <c:pt idx="263">
                  <c:v>67.117097999999999</c:v>
                </c:pt>
                <c:pt idx="264">
                  <c:v>109.534372</c:v>
                </c:pt>
                <c:pt idx="265">
                  <c:v>290.61599800000005</c:v>
                </c:pt>
                <c:pt idx="266">
                  <c:v>130.755921</c:v>
                </c:pt>
                <c:pt idx="267">
                  <c:v>109.82341000000001</c:v>
                </c:pt>
                <c:pt idx="268">
                  <c:v>189.69959800000001</c:v>
                </c:pt>
                <c:pt idx="269">
                  <c:v>271.68280799999997</c:v>
                </c:pt>
                <c:pt idx="270">
                  <c:v>114.33936200000001</c:v>
                </c:pt>
                <c:pt idx="271">
                  <c:v>32.310867000000002</c:v>
                </c:pt>
                <c:pt idx="272">
                  <c:v>167.25509499999998</c:v>
                </c:pt>
                <c:pt idx="273">
                  <c:v>312.80114600000002</c:v>
                </c:pt>
                <c:pt idx="274">
                  <c:v>277.155551</c:v>
                </c:pt>
                <c:pt idx="275">
                  <c:v>244.36483500000003</c:v>
                </c:pt>
                <c:pt idx="276">
                  <c:v>243.57404799999998</c:v>
                </c:pt>
                <c:pt idx="277">
                  <c:v>258.912554</c:v>
                </c:pt>
                <c:pt idx="278">
                  <c:v>245.79915800000001</c:v>
                </c:pt>
                <c:pt idx="279">
                  <c:v>286.91133000000002</c:v>
                </c:pt>
                <c:pt idx="280">
                  <c:v>346.55333499999995</c:v>
                </c:pt>
                <c:pt idx="281">
                  <c:v>173.17262500000001</c:v>
                </c:pt>
                <c:pt idx="282">
                  <c:v>136.88351800000001</c:v>
                </c:pt>
                <c:pt idx="283">
                  <c:v>181.39284099999998</c:v>
                </c:pt>
                <c:pt idx="284">
                  <c:v>198.59299299999998</c:v>
                </c:pt>
                <c:pt idx="285">
                  <c:v>180.97653099999999</c:v>
                </c:pt>
                <c:pt idx="286">
                  <c:v>213.04121499999999</c:v>
                </c:pt>
                <c:pt idx="287">
                  <c:v>142.68793599999998</c:v>
                </c:pt>
                <c:pt idx="288">
                  <c:v>95.977497</c:v>
                </c:pt>
                <c:pt idx="289">
                  <c:v>141.29913500000001</c:v>
                </c:pt>
                <c:pt idx="290">
                  <c:v>235.92347999999998</c:v>
                </c:pt>
                <c:pt idx="291">
                  <c:v>270.38775200000003</c:v>
                </c:pt>
                <c:pt idx="292">
                  <c:v>371.90621899999996</c:v>
                </c:pt>
                <c:pt idx="293">
                  <c:v>347.87098700000001</c:v>
                </c:pt>
                <c:pt idx="294">
                  <c:v>244.31689699999998</c:v>
                </c:pt>
                <c:pt idx="295">
                  <c:v>164.86473800000002</c:v>
                </c:pt>
                <c:pt idx="296">
                  <c:v>161.83111400000001</c:v>
                </c:pt>
                <c:pt idx="297">
                  <c:v>168.429867</c:v>
                </c:pt>
                <c:pt idx="298">
                  <c:v>172.45532</c:v>
                </c:pt>
                <c:pt idx="299">
                  <c:v>159.590024</c:v>
                </c:pt>
                <c:pt idx="300">
                  <c:v>187.49961100000002</c:v>
                </c:pt>
                <c:pt idx="301">
                  <c:v>234.15803999999997</c:v>
                </c:pt>
                <c:pt idx="302">
                  <c:v>170.940212</c:v>
                </c:pt>
                <c:pt idx="303">
                  <c:v>113.46322000000001</c:v>
                </c:pt>
                <c:pt idx="304">
                  <c:v>55.310994000000001</c:v>
                </c:pt>
                <c:pt idx="305">
                  <c:v>159.42946800000001</c:v>
                </c:pt>
                <c:pt idx="306">
                  <c:v>240.342296</c:v>
                </c:pt>
                <c:pt idx="307">
                  <c:v>250.53855200000001</c:v>
                </c:pt>
                <c:pt idx="308">
                  <c:v>142.38233300000002</c:v>
                </c:pt>
                <c:pt idx="309">
                  <c:v>92.033123000000003</c:v>
                </c:pt>
                <c:pt idx="310">
                  <c:v>65.263696999999993</c:v>
                </c:pt>
                <c:pt idx="311">
                  <c:v>67.720842000000005</c:v>
                </c:pt>
                <c:pt idx="312">
                  <c:v>90.567506000000009</c:v>
                </c:pt>
                <c:pt idx="313">
                  <c:v>182.138599</c:v>
                </c:pt>
                <c:pt idx="314">
                  <c:v>208.03713300000001</c:v>
                </c:pt>
                <c:pt idx="315">
                  <c:v>92.423380999999992</c:v>
                </c:pt>
                <c:pt idx="316">
                  <c:v>46.441901999999999</c:v>
                </c:pt>
                <c:pt idx="317">
                  <c:v>168.73453000000001</c:v>
                </c:pt>
                <c:pt idx="318">
                  <c:v>232.63372899999999</c:v>
                </c:pt>
                <c:pt idx="319">
                  <c:v>263.37546300000002</c:v>
                </c:pt>
                <c:pt idx="320">
                  <c:v>204.78054999999998</c:v>
                </c:pt>
                <c:pt idx="321">
                  <c:v>178.67427699999999</c:v>
                </c:pt>
                <c:pt idx="322">
                  <c:v>227.773515</c:v>
                </c:pt>
                <c:pt idx="323">
                  <c:v>131.45716000000002</c:v>
                </c:pt>
                <c:pt idx="324">
                  <c:v>72.177299000000005</c:v>
                </c:pt>
                <c:pt idx="325">
                  <c:v>102.49695699999999</c:v>
                </c:pt>
                <c:pt idx="326">
                  <c:v>110.06331200000001</c:v>
                </c:pt>
                <c:pt idx="327">
                  <c:v>114.529554</c:v>
                </c:pt>
                <c:pt idx="328">
                  <c:v>77.589011999999983</c:v>
                </c:pt>
                <c:pt idx="329">
                  <c:v>184.18373500000001</c:v>
                </c:pt>
                <c:pt idx="330">
                  <c:v>131.14623699999999</c:v>
                </c:pt>
                <c:pt idx="331">
                  <c:v>58.302416000000008</c:v>
                </c:pt>
                <c:pt idx="332">
                  <c:v>89.671123999999992</c:v>
                </c:pt>
                <c:pt idx="333">
                  <c:v>223.78987499999999</c:v>
                </c:pt>
                <c:pt idx="334">
                  <c:v>130.73729700000001</c:v>
                </c:pt>
                <c:pt idx="335">
                  <c:v>181.60779400000001</c:v>
                </c:pt>
                <c:pt idx="336">
                  <c:v>89.421211999999997</c:v>
                </c:pt>
                <c:pt idx="337">
                  <c:v>112.899416</c:v>
                </c:pt>
                <c:pt idx="338">
                  <c:v>219.58313100000004</c:v>
                </c:pt>
                <c:pt idx="339">
                  <c:v>176.61624499999999</c:v>
                </c:pt>
                <c:pt idx="340">
                  <c:v>103.20984899999999</c:v>
                </c:pt>
                <c:pt idx="341">
                  <c:v>73.222005999999993</c:v>
                </c:pt>
                <c:pt idx="342">
                  <c:v>65.937542000000008</c:v>
                </c:pt>
                <c:pt idx="343">
                  <c:v>101.71455800000001</c:v>
                </c:pt>
                <c:pt idx="344">
                  <c:v>84.707972999999996</c:v>
                </c:pt>
                <c:pt idx="345">
                  <c:v>77.854702000000003</c:v>
                </c:pt>
                <c:pt idx="346">
                  <c:v>45.845879000000004</c:v>
                </c:pt>
                <c:pt idx="347">
                  <c:v>50.527019000000003</c:v>
                </c:pt>
                <c:pt idx="348">
                  <c:v>132.655484</c:v>
                </c:pt>
                <c:pt idx="349">
                  <c:v>157.66755800000001</c:v>
                </c:pt>
                <c:pt idx="350">
                  <c:v>60.002699</c:v>
                </c:pt>
                <c:pt idx="351">
                  <c:v>88.425532000000004</c:v>
                </c:pt>
                <c:pt idx="352">
                  <c:v>139.35441100000003</c:v>
                </c:pt>
                <c:pt idx="353">
                  <c:v>137.66535000000002</c:v>
                </c:pt>
                <c:pt idx="354">
                  <c:v>101.228334</c:v>
                </c:pt>
                <c:pt idx="355">
                  <c:v>195.44540499999999</c:v>
                </c:pt>
                <c:pt idx="356">
                  <c:v>198.442679</c:v>
                </c:pt>
                <c:pt idx="357">
                  <c:v>108.31279999999998</c:v>
                </c:pt>
                <c:pt idx="358">
                  <c:v>60.122805</c:v>
                </c:pt>
                <c:pt idx="359">
                  <c:v>108.48711899999999</c:v>
                </c:pt>
                <c:pt idx="360">
                  <c:v>89.988647999999998</c:v>
                </c:pt>
                <c:pt idx="361">
                  <c:v>73.764529999999993</c:v>
                </c:pt>
                <c:pt idx="362">
                  <c:v>73.826587000000004</c:v>
                </c:pt>
                <c:pt idx="363">
                  <c:v>80.925066000000001</c:v>
                </c:pt>
                <c:pt idx="364">
                  <c:v>69.140265999999997</c:v>
                </c:pt>
                <c:pt idx="365">
                  <c:v>111.435053</c:v>
                </c:pt>
                <c:pt idx="366">
                  <c:v>182.22426000000002</c:v>
                </c:pt>
                <c:pt idx="367">
                  <c:v>105.688453</c:v>
                </c:pt>
                <c:pt idx="368">
                  <c:v>90.691767999999996</c:v>
                </c:pt>
                <c:pt idx="369">
                  <c:v>92.065466000000001</c:v>
                </c:pt>
                <c:pt idx="370">
                  <c:v>73.003224000000003</c:v>
                </c:pt>
                <c:pt idx="371">
                  <c:v>73.094994999999997</c:v>
                </c:pt>
                <c:pt idx="372">
                  <c:v>90.551684000000009</c:v>
                </c:pt>
                <c:pt idx="373">
                  <c:v>98.799042</c:v>
                </c:pt>
                <c:pt idx="374">
                  <c:v>105.73545900000001</c:v>
                </c:pt>
                <c:pt idx="375">
                  <c:v>158.98861000000002</c:v>
                </c:pt>
                <c:pt idx="376">
                  <c:v>91.165997000000004</c:v>
                </c:pt>
                <c:pt idx="377">
                  <c:v>100.57450900000001</c:v>
                </c:pt>
                <c:pt idx="378">
                  <c:v>74.378728999999993</c:v>
                </c:pt>
                <c:pt idx="379">
                  <c:v>158.88886500000001</c:v>
                </c:pt>
                <c:pt idx="380">
                  <c:v>144.43134899999998</c:v>
                </c:pt>
                <c:pt idx="381">
                  <c:v>95.715376999999989</c:v>
                </c:pt>
                <c:pt idx="382">
                  <c:v>67.396819000000008</c:v>
                </c:pt>
                <c:pt idx="383">
                  <c:v>90.354638000000008</c:v>
                </c:pt>
                <c:pt idx="384">
                  <c:v>79.801942999999994</c:v>
                </c:pt>
                <c:pt idx="385">
                  <c:v>81.718552000000017</c:v>
                </c:pt>
                <c:pt idx="386">
                  <c:v>94.015771999999998</c:v>
                </c:pt>
                <c:pt idx="387">
                  <c:v>114.845062</c:v>
                </c:pt>
                <c:pt idx="388">
                  <c:v>145.82964999999999</c:v>
                </c:pt>
                <c:pt idx="389">
                  <c:v>133.50499400000001</c:v>
                </c:pt>
                <c:pt idx="390">
                  <c:v>106.92297600000001</c:v>
                </c:pt>
                <c:pt idx="391">
                  <c:v>74.418779999999998</c:v>
                </c:pt>
                <c:pt idx="392">
                  <c:v>82.586341000000004</c:v>
                </c:pt>
                <c:pt idx="393">
                  <c:v>83.282995999999997</c:v>
                </c:pt>
                <c:pt idx="394">
                  <c:v>88.473113000000012</c:v>
                </c:pt>
                <c:pt idx="395">
                  <c:v>84.523108000000008</c:v>
                </c:pt>
                <c:pt idx="396">
                  <c:v>161.72694200000001</c:v>
                </c:pt>
                <c:pt idx="397">
                  <c:v>214.717973</c:v>
                </c:pt>
                <c:pt idx="398">
                  <c:v>156.23391100000003</c:v>
                </c:pt>
                <c:pt idx="399">
                  <c:v>150.013204</c:v>
                </c:pt>
                <c:pt idx="400">
                  <c:v>115.79121299999998</c:v>
                </c:pt>
                <c:pt idx="401">
                  <c:v>188.215407</c:v>
                </c:pt>
                <c:pt idx="402">
                  <c:v>225.77900099999999</c:v>
                </c:pt>
                <c:pt idx="403">
                  <c:v>118.35066999999999</c:v>
                </c:pt>
                <c:pt idx="404">
                  <c:v>60.871835999999995</c:v>
                </c:pt>
                <c:pt idx="405">
                  <c:v>100.20162999999999</c:v>
                </c:pt>
                <c:pt idx="406">
                  <c:v>71.396677999999994</c:v>
                </c:pt>
                <c:pt idx="407">
                  <c:v>41.300084999999996</c:v>
                </c:pt>
                <c:pt idx="408">
                  <c:v>89.42204799999999</c:v>
                </c:pt>
                <c:pt idx="409">
                  <c:v>116.101466</c:v>
                </c:pt>
                <c:pt idx="410">
                  <c:v>77.283339999999995</c:v>
                </c:pt>
                <c:pt idx="411">
                  <c:v>76.289976999999993</c:v>
                </c:pt>
                <c:pt idx="412">
                  <c:v>140.59186599999998</c:v>
                </c:pt>
                <c:pt idx="413">
                  <c:v>170.78524699999997</c:v>
                </c:pt>
                <c:pt idx="414">
                  <c:v>181.19532100000001</c:v>
                </c:pt>
                <c:pt idx="415">
                  <c:v>117.58539</c:v>
                </c:pt>
                <c:pt idx="416">
                  <c:v>81.948459999999997</c:v>
                </c:pt>
                <c:pt idx="417">
                  <c:v>151.771355</c:v>
                </c:pt>
                <c:pt idx="418">
                  <c:v>255.299519</c:v>
                </c:pt>
                <c:pt idx="419">
                  <c:v>221.47422899999998</c:v>
                </c:pt>
                <c:pt idx="420">
                  <c:v>180.089921</c:v>
                </c:pt>
                <c:pt idx="421">
                  <c:v>143.43045699999999</c:v>
                </c:pt>
                <c:pt idx="422">
                  <c:v>223.99421000000001</c:v>
                </c:pt>
                <c:pt idx="423">
                  <c:v>246.965239</c:v>
                </c:pt>
                <c:pt idx="424">
                  <c:v>214.629367</c:v>
                </c:pt>
                <c:pt idx="425">
                  <c:v>191.62969400000003</c:v>
                </c:pt>
                <c:pt idx="426">
                  <c:v>196.01874599999999</c:v>
                </c:pt>
                <c:pt idx="427">
                  <c:v>207.71120899999997</c:v>
                </c:pt>
                <c:pt idx="428">
                  <c:v>167.25447699999998</c:v>
                </c:pt>
                <c:pt idx="429">
                  <c:v>97.730263000000008</c:v>
                </c:pt>
                <c:pt idx="430">
                  <c:v>178.307954</c:v>
                </c:pt>
                <c:pt idx="431">
                  <c:v>108.75238</c:v>
                </c:pt>
                <c:pt idx="432">
                  <c:v>60.090370999999998</c:v>
                </c:pt>
                <c:pt idx="433">
                  <c:v>94.427125000000004</c:v>
                </c:pt>
                <c:pt idx="434">
                  <c:v>101.09446399999999</c:v>
                </c:pt>
                <c:pt idx="435">
                  <c:v>103.19056999999999</c:v>
                </c:pt>
                <c:pt idx="436">
                  <c:v>77.417433000000003</c:v>
                </c:pt>
                <c:pt idx="437">
                  <c:v>98.605398000000008</c:v>
                </c:pt>
                <c:pt idx="438">
                  <c:v>91.687049000000016</c:v>
                </c:pt>
                <c:pt idx="439">
                  <c:v>103.45359300000001</c:v>
                </c:pt>
                <c:pt idx="440">
                  <c:v>91.752726999999993</c:v>
                </c:pt>
                <c:pt idx="441">
                  <c:v>48.036050000000003</c:v>
                </c:pt>
                <c:pt idx="442">
                  <c:v>51.263207999999999</c:v>
                </c:pt>
                <c:pt idx="443">
                  <c:v>108.67077099999999</c:v>
                </c:pt>
                <c:pt idx="444">
                  <c:v>148.78780500000002</c:v>
                </c:pt>
                <c:pt idx="445">
                  <c:v>175.13356200000001</c:v>
                </c:pt>
                <c:pt idx="446">
                  <c:v>161.55274800000001</c:v>
                </c:pt>
                <c:pt idx="447">
                  <c:v>161.18534</c:v>
                </c:pt>
                <c:pt idx="448">
                  <c:v>71.031289999999998</c:v>
                </c:pt>
                <c:pt idx="449">
                  <c:v>46.669957000000004</c:v>
                </c:pt>
                <c:pt idx="450">
                  <c:v>86.105929000000003</c:v>
                </c:pt>
                <c:pt idx="451">
                  <c:v>81.305091000000004</c:v>
                </c:pt>
                <c:pt idx="452">
                  <c:v>98.92193300000001</c:v>
                </c:pt>
                <c:pt idx="453">
                  <c:v>189.689168</c:v>
                </c:pt>
                <c:pt idx="454">
                  <c:v>185.77085300000002</c:v>
                </c:pt>
                <c:pt idx="455">
                  <c:v>114.512218</c:v>
                </c:pt>
                <c:pt idx="456">
                  <c:v>152.10097500000001</c:v>
                </c:pt>
                <c:pt idx="457">
                  <c:v>192.30293400000002</c:v>
                </c:pt>
                <c:pt idx="458">
                  <c:v>134.19980600000002</c:v>
                </c:pt>
                <c:pt idx="459">
                  <c:v>128.86664499999998</c:v>
                </c:pt>
                <c:pt idx="460">
                  <c:v>117.52628900000001</c:v>
                </c:pt>
                <c:pt idx="461">
                  <c:v>170.60667599999996</c:v>
                </c:pt>
                <c:pt idx="462">
                  <c:v>215.90198000000001</c:v>
                </c:pt>
                <c:pt idx="463">
                  <c:v>157.30934100000002</c:v>
                </c:pt>
                <c:pt idx="464">
                  <c:v>137.50514000000001</c:v>
                </c:pt>
                <c:pt idx="465">
                  <c:v>140.04967600000001</c:v>
                </c:pt>
                <c:pt idx="466">
                  <c:v>204.91856099999998</c:v>
                </c:pt>
                <c:pt idx="467">
                  <c:v>145.292249</c:v>
                </c:pt>
                <c:pt idx="468">
                  <c:v>74.595826000000002</c:v>
                </c:pt>
                <c:pt idx="469">
                  <c:v>78.096400000000003</c:v>
                </c:pt>
                <c:pt idx="470">
                  <c:v>79.493895999999992</c:v>
                </c:pt>
                <c:pt idx="471">
                  <c:v>94.060361999999998</c:v>
                </c:pt>
                <c:pt idx="472">
                  <c:v>97.814695</c:v>
                </c:pt>
                <c:pt idx="473">
                  <c:v>48.407660000000007</c:v>
                </c:pt>
                <c:pt idx="474">
                  <c:v>82.972586000000007</c:v>
                </c:pt>
                <c:pt idx="475">
                  <c:v>160.474592</c:v>
                </c:pt>
                <c:pt idx="476">
                  <c:v>150.69888</c:v>
                </c:pt>
                <c:pt idx="477">
                  <c:v>166.83264299999999</c:v>
                </c:pt>
                <c:pt idx="478">
                  <c:v>166.98727400000001</c:v>
                </c:pt>
                <c:pt idx="479">
                  <c:v>186.13974999999999</c:v>
                </c:pt>
                <c:pt idx="480">
                  <c:v>172.00194099999999</c:v>
                </c:pt>
                <c:pt idx="481">
                  <c:v>106.30001799999999</c:v>
                </c:pt>
                <c:pt idx="482">
                  <c:v>40.738879999999995</c:v>
                </c:pt>
                <c:pt idx="483">
                  <c:v>81.042478000000003</c:v>
                </c:pt>
                <c:pt idx="484">
                  <c:v>164.94366099999999</c:v>
                </c:pt>
                <c:pt idx="485">
                  <c:v>188.78884099999999</c:v>
                </c:pt>
                <c:pt idx="486">
                  <c:v>94.247309999999999</c:v>
                </c:pt>
                <c:pt idx="487">
                  <c:v>84.978501000000009</c:v>
                </c:pt>
                <c:pt idx="488">
                  <c:v>53.655705000000005</c:v>
                </c:pt>
                <c:pt idx="489">
                  <c:v>45.271990000000002</c:v>
                </c:pt>
                <c:pt idx="490">
                  <c:v>125.09698900000001</c:v>
                </c:pt>
                <c:pt idx="491">
                  <c:v>211.84702999999999</c:v>
                </c:pt>
                <c:pt idx="492">
                  <c:v>127.31721499999999</c:v>
                </c:pt>
                <c:pt idx="493">
                  <c:v>40.534945</c:v>
                </c:pt>
                <c:pt idx="494">
                  <c:v>93.948177000000015</c:v>
                </c:pt>
                <c:pt idx="495">
                  <c:v>236.29716699999997</c:v>
                </c:pt>
                <c:pt idx="496">
                  <c:v>213.90977300000003</c:v>
                </c:pt>
                <c:pt idx="497">
                  <c:v>116.77486</c:v>
                </c:pt>
                <c:pt idx="498">
                  <c:v>117.85022199999999</c:v>
                </c:pt>
                <c:pt idx="499">
                  <c:v>49.549046000000004</c:v>
                </c:pt>
                <c:pt idx="500">
                  <c:v>23.236794000000003</c:v>
                </c:pt>
                <c:pt idx="501">
                  <c:v>35.574103999999998</c:v>
                </c:pt>
                <c:pt idx="502">
                  <c:v>50.567974999999997</c:v>
                </c:pt>
                <c:pt idx="503">
                  <c:v>53.964230999999998</c:v>
                </c:pt>
                <c:pt idx="504">
                  <c:v>66.933449999999993</c:v>
                </c:pt>
                <c:pt idx="505">
                  <c:v>210.47770699999998</c:v>
                </c:pt>
                <c:pt idx="506">
                  <c:v>293.87530699999996</c:v>
                </c:pt>
                <c:pt idx="507">
                  <c:v>323.36873499999996</c:v>
                </c:pt>
                <c:pt idx="508">
                  <c:v>362.36210299999999</c:v>
                </c:pt>
                <c:pt idx="509">
                  <c:v>331.92926</c:v>
                </c:pt>
                <c:pt idx="510">
                  <c:v>125.609931</c:v>
                </c:pt>
                <c:pt idx="511">
                  <c:v>117.720692</c:v>
                </c:pt>
                <c:pt idx="512">
                  <c:v>211.720437</c:v>
                </c:pt>
                <c:pt idx="513">
                  <c:v>115.856505</c:v>
                </c:pt>
                <c:pt idx="514">
                  <c:v>100.175257</c:v>
                </c:pt>
                <c:pt idx="515">
                  <c:v>175.355301</c:v>
                </c:pt>
                <c:pt idx="516">
                  <c:v>181.94170299999999</c:v>
                </c:pt>
                <c:pt idx="517">
                  <c:v>265.87503399999997</c:v>
                </c:pt>
                <c:pt idx="518">
                  <c:v>200.02664100000001</c:v>
                </c:pt>
                <c:pt idx="519">
                  <c:v>176.02249799999998</c:v>
                </c:pt>
                <c:pt idx="520">
                  <c:v>98.33959999999999</c:v>
                </c:pt>
                <c:pt idx="521">
                  <c:v>214.67067500000002</c:v>
                </c:pt>
                <c:pt idx="522">
                  <c:v>361.61371200000002</c:v>
                </c:pt>
                <c:pt idx="523">
                  <c:v>358.43945300000001</c:v>
                </c:pt>
                <c:pt idx="524">
                  <c:v>252.57927599999999</c:v>
                </c:pt>
                <c:pt idx="525">
                  <c:v>252.76988200000002</c:v>
                </c:pt>
                <c:pt idx="526">
                  <c:v>129.52230800000001</c:v>
                </c:pt>
                <c:pt idx="527">
                  <c:v>134.22962799999999</c:v>
                </c:pt>
                <c:pt idx="528">
                  <c:v>211.40186199999999</c:v>
                </c:pt>
                <c:pt idx="529">
                  <c:v>336.698105</c:v>
                </c:pt>
                <c:pt idx="530">
                  <c:v>380.78504699999996</c:v>
                </c:pt>
                <c:pt idx="531">
                  <c:v>353.106809</c:v>
                </c:pt>
                <c:pt idx="532">
                  <c:v>315.77695999999997</c:v>
                </c:pt>
                <c:pt idx="533">
                  <c:v>207.499269</c:v>
                </c:pt>
                <c:pt idx="534">
                  <c:v>164.15006100000002</c:v>
                </c:pt>
                <c:pt idx="535">
                  <c:v>191.09094200000001</c:v>
                </c:pt>
                <c:pt idx="536">
                  <c:v>131.831076</c:v>
                </c:pt>
                <c:pt idx="537">
                  <c:v>225.672921</c:v>
                </c:pt>
                <c:pt idx="538">
                  <c:v>258.45201200000002</c:v>
                </c:pt>
                <c:pt idx="539">
                  <c:v>245.132668</c:v>
                </c:pt>
                <c:pt idx="540">
                  <c:v>289.97394000000003</c:v>
                </c:pt>
                <c:pt idx="541">
                  <c:v>412.04517099999998</c:v>
                </c:pt>
                <c:pt idx="542">
                  <c:v>324.45697000000001</c:v>
                </c:pt>
                <c:pt idx="543">
                  <c:v>256.238969</c:v>
                </c:pt>
                <c:pt idx="544">
                  <c:v>206.740038</c:v>
                </c:pt>
                <c:pt idx="545">
                  <c:v>79.520308999999997</c:v>
                </c:pt>
                <c:pt idx="546">
                  <c:v>100.69841000000001</c:v>
                </c:pt>
                <c:pt idx="547">
                  <c:v>220.04712499999999</c:v>
                </c:pt>
                <c:pt idx="548">
                  <c:v>137.53796499999999</c:v>
                </c:pt>
                <c:pt idx="549">
                  <c:v>189.51876700000003</c:v>
                </c:pt>
                <c:pt idx="550">
                  <c:v>286.80502000000001</c:v>
                </c:pt>
                <c:pt idx="551">
                  <c:v>399.34946200000002</c:v>
                </c:pt>
                <c:pt idx="552">
                  <c:v>366.20060799999999</c:v>
                </c:pt>
                <c:pt idx="553">
                  <c:v>342.585239</c:v>
                </c:pt>
                <c:pt idx="554">
                  <c:v>241.80106499999999</c:v>
                </c:pt>
                <c:pt idx="555">
                  <c:v>143.03544500000001</c:v>
                </c:pt>
                <c:pt idx="556">
                  <c:v>208.40376000000001</c:v>
                </c:pt>
                <c:pt idx="557">
                  <c:v>76.776893999999999</c:v>
                </c:pt>
                <c:pt idx="558">
                  <c:v>129.776892</c:v>
                </c:pt>
                <c:pt idx="559">
                  <c:v>142.31672100000003</c:v>
                </c:pt>
                <c:pt idx="560">
                  <c:v>125.60963099999999</c:v>
                </c:pt>
                <c:pt idx="561">
                  <c:v>108.79696799999999</c:v>
                </c:pt>
                <c:pt idx="562">
                  <c:v>143.20590899999999</c:v>
                </c:pt>
                <c:pt idx="563">
                  <c:v>153.39876599999999</c:v>
                </c:pt>
                <c:pt idx="564">
                  <c:v>96.511004</c:v>
                </c:pt>
                <c:pt idx="565">
                  <c:v>184.78287800000001</c:v>
                </c:pt>
                <c:pt idx="566">
                  <c:v>56.398639000000003</c:v>
                </c:pt>
                <c:pt idx="567">
                  <c:v>154.25251499999999</c:v>
                </c:pt>
                <c:pt idx="568">
                  <c:v>219.870225</c:v>
                </c:pt>
                <c:pt idx="569">
                  <c:v>240.39568</c:v>
                </c:pt>
                <c:pt idx="570">
                  <c:v>243.56690500000002</c:v>
                </c:pt>
                <c:pt idx="571">
                  <c:v>230.08488</c:v>
                </c:pt>
                <c:pt idx="572">
                  <c:v>124.686553</c:v>
                </c:pt>
                <c:pt idx="573">
                  <c:v>60.320762999999999</c:v>
                </c:pt>
                <c:pt idx="574">
                  <c:v>173.214023</c:v>
                </c:pt>
                <c:pt idx="575">
                  <c:v>158.09477200000001</c:v>
                </c:pt>
                <c:pt idx="576">
                  <c:v>21.450118</c:v>
                </c:pt>
                <c:pt idx="577">
                  <c:v>142.415367</c:v>
                </c:pt>
                <c:pt idx="578">
                  <c:v>85.067233999999999</c:v>
                </c:pt>
                <c:pt idx="579">
                  <c:v>98.519115999999997</c:v>
                </c:pt>
                <c:pt idx="580">
                  <c:v>129.93630999999999</c:v>
                </c:pt>
                <c:pt idx="581">
                  <c:v>141.03402</c:v>
                </c:pt>
                <c:pt idx="582">
                  <c:v>356.749527</c:v>
                </c:pt>
                <c:pt idx="583">
                  <c:v>283.63285199999996</c:v>
                </c:pt>
                <c:pt idx="584">
                  <c:v>295.48548499999998</c:v>
                </c:pt>
                <c:pt idx="585">
                  <c:v>272.998716</c:v>
                </c:pt>
                <c:pt idx="586">
                  <c:v>369.39308500000004</c:v>
                </c:pt>
                <c:pt idx="587">
                  <c:v>456.25043199999999</c:v>
                </c:pt>
                <c:pt idx="588">
                  <c:v>292.46655900000002</c:v>
                </c:pt>
                <c:pt idx="589">
                  <c:v>225.99817199999998</c:v>
                </c:pt>
                <c:pt idx="590">
                  <c:v>211.16544099999999</c:v>
                </c:pt>
                <c:pt idx="591">
                  <c:v>263.91427799999997</c:v>
                </c:pt>
                <c:pt idx="592">
                  <c:v>82.735627999999991</c:v>
                </c:pt>
                <c:pt idx="593">
                  <c:v>213.93195300000002</c:v>
                </c:pt>
                <c:pt idx="594">
                  <c:v>112.592851</c:v>
                </c:pt>
                <c:pt idx="595">
                  <c:v>59.133735000000001</c:v>
                </c:pt>
                <c:pt idx="596">
                  <c:v>56.310523000000003</c:v>
                </c:pt>
                <c:pt idx="597">
                  <c:v>149.89128500000001</c:v>
                </c:pt>
                <c:pt idx="598">
                  <c:v>256.06277599999999</c:v>
                </c:pt>
                <c:pt idx="599">
                  <c:v>357.96870899999999</c:v>
                </c:pt>
                <c:pt idx="600">
                  <c:v>395.73399100000006</c:v>
                </c:pt>
                <c:pt idx="601">
                  <c:v>344.62276100000003</c:v>
                </c:pt>
                <c:pt idx="602">
                  <c:v>366.05297300000001</c:v>
                </c:pt>
                <c:pt idx="603">
                  <c:v>386.11337900000001</c:v>
                </c:pt>
                <c:pt idx="604">
                  <c:v>372.84373999999997</c:v>
                </c:pt>
                <c:pt idx="605">
                  <c:v>370.835804</c:v>
                </c:pt>
                <c:pt idx="606">
                  <c:v>289.23715399999998</c:v>
                </c:pt>
                <c:pt idx="607">
                  <c:v>369.38480900000002</c:v>
                </c:pt>
                <c:pt idx="608">
                  <c:v>352.67438900000002</c:v>
                </c:pt>
                <c:pt idx="609">
                  <c:v>255.73537999999996</c:v>
                </c:pt>
                <c:pt idx="610">
                  <c:v>179.25360599999999</c:v>
                </c:pt>
                <c:pt idx="611">
                  <c:v>319.310227</c:v>
                </c:pt>
                <c:pt idx="612">
                  <c:v>232.593987</c:v>
                </c:pt>
                <c:pt idx="613">
                  <c:v>336.12292100000002</c:v>
                </c:pt>
                <c:pt idx="614">
                  <c:v>310.05783500000001</c:v>
                </c:pt>
                <c:pt idx="615">
                  <c:v>291.30161000000004</c:v>
                </c:pt>
                <c:pt idx="616">
                  <c:v>253.70182199999999</c:v>
                </c:pt>
                <c:pt idx="617">
                  <c:v>202.28541300000001</c:v>
                </c:pt>
                <c:pt idx="618">
                  <c:v>285.731897</c:v>
                </c:pt>
                <c:pt idx="619">
                  <c:v>362.44361400000003</c:v>
                </c:pt>
                <c:pt idx="620">
                  <c:v>343.37678900000003</c:v>
                </c:pt>
                <c:pt idx="621">
                  <c:v>303.91168599999997</c:v>
                </c:pt>
                <c:pt idx="622">
                  <c:v>337.03598599999998</c:v>
                </c:pt>
                <c:pt idx="623">
                  <c:v>259.86732000000001</c:v>
                </c:pt>
                <c:pt idx="624">
                  <c:v>259.80589199999997</c:v>
                </c:pt>
                <c:pt idx="625">
                  <c:v>342.63470799999999</c:v>
                </c:pt>
                <c:pt idx="626">
                  <c:v>252.68268700000002</c:v>
                </c:pt>
                <c:pt idx="627">
                  <c:v>300.71581200000003</c:v>
                </c:pt>
                <c:pt idx="628">
                  <c:v>279.45362</c:v>
                </c:pt>
                <c:pt idx="629">
                  <c:v>190.55159900000001</c:v>
                </c:pt>
                <c:pt idx="630">
                  <c:v>61.297213999999997</c:v>
                </c:pt>
                <c:pt idx="631">
                  <c:v>36.539241000000004</c:v>
                </c:pt>
                <c:pt idx="632">
                  <c:v>32.086672999999998</c:v>
                </c:pt>
                <c:pt idx="633">
                  <c:v>90.482468999999995</c:v>
                </c:pt>
                <c:pt idx="634">
                  <c:v>87.28028900000001</c:v>
                </c:pt>
                <c:pt idx="635">
                  <c:v>77.833936000000008</c:v>
                </c:pt>
                <c:pt idx="636">
                  <c:v>120.428956</c:v>
                </c:pt>
                <c:pt idx="637">
                  <c:v>109.41116000000001</c:v>
                </c:pt>
                <c:pt idx="638">
                  <c:v>113.383557</c:v>
                </c:pt>
                <c:pt idx="639">
                  <c:v>227.50562599999998</c:v>
                </c:pt>
                <c:pt idx="640">
                  <c:v>209.14020199999999</c:v>
                </c:pt>
                <c:pt idx="641">
                  <c:v>185.902286</c:v>
                </c:pt>
                <c:pt idx="642">
                  <c:v>145.03620999999998</c:v>
                </c:pt>
                <c:pt idx="643">
                  <c:v>288.30352600000003</c:v>
                </c:pt>
                <c:pt idx="644">
                  <c:v>142.02393700000002</c:v>
                </c:pt>
                <c:pt idx="645">
                  <c:v>19.999534000000001</c:v>
                </c:pt>
                <c:pt idx="646">
                  <c:v>56.807061999999995</c:v>
                </c:pt>
                <c:pt idx="647">
                  <c:v>56.208468000000003</c:v>
                </c:pt>
                <c:pt idx="648">
                  <c:v>43.091881000000001</c:v>
                </c:pt>
                <c:pt idx="649">
                  <c:v>73.909861000000006</c:v>
                </c:pt>
                <c:pt idx="650">
                  <c:v>173.74593299999998</c:v>
                </c:pt>
                <c:pt idx="651">
                  <c:v>294.312118</c:v>
                </c:pt>
                <c:pt idx="652">
                  <c:v>200.180316</c:v>
                </c:pt>
                <c:pt idx="653">
                  <c:v>153.60093600000002</c:v>
                </c:pt>
                <c:pt idx="654">
                  <c:v>108.16517599999999</c:v>
                </c:pt>
                <c:pt idx="655">
                  <c:v>100.39067</c:v>
                </c:pt>
                <c:pt idx="656">
                  <c:v>201.574048</c:v>
                </c:pt>
                <c:pt idx="657">
                  <c:v>181.97926199999998</c:v>
                </c:pt>
                <c:pt idx="658">
                  <c:v>72.705559999999991</c:v>
                </c:pt>
                <c:pt idx="659">
                  <c:v>114.395635</c:v>
                </c:pt>
                <c:pt idx="660">
                  <c:v>180.97240199999999</c:v>
                </c:pt>
                <c:pt idx="661">
                  <c:v>73.448057999999989</c:v>
                </c:pt>
                <c:pt idx="662">
                  <c:v>186.46900600000001</c:v>
                </c:pt>
                <c:pt idx="663">
                  <c:v>272.05592899999999</c:v>
                </c:pt>
                <c:pt idx="664">
                  <c:v>257.428496</c:v>
                </c:pt>
                <c:pt idx="665">
                  <c:v>257.33131399999996</c:v>
                </c:pt>
                <c:pt idx="666">
                  <c:v>231.87094500000001</c:v>
                </c:pt>
                <c:pt idx="667">
                  <c:v>243.59451100000001</c:v>
                </c:pt>
                <c:pt idx="668">
                  <c:v>290.33657099999999</c:v>
                </c:pt>
                <c:pt idx="669">
                  <c:v>276.62244699999997</c:v>
                </c:pt>
                <c:pt idx="670">
                  <c:v>261.67875999999995</c:v>
                </c:pt>
                <c:pt idx="671">
                  <c:v>170.71929499999999</c:v>
                </c:pt>
                <c:pt idx="672">
                  <c:v>82.160215000000008</c:v>
                </c:pt>
                <c:pt idx="673">
                  <c:v>60.046943999999996</c:v>
                </c:pt>
                <c:pt idx="674">
                  <c:v>142.99351100000001</c:v>
                </c:pt>
                <c:pt idx="675">
                  <c:v>186.618875</c:v>
                </c:pt>
                <c:pt idx="676">
                  <c:v>92.76430400000001</c:v>
                </c:pt>
                <c:pt idx="677">
                  <c:v>98.755494000000013</c:v>
                </c:pt>
                <c:pt idx="678">
                  <c:v>124.06647599999999</c:v>
                </c:pt>
                <c:pt idx="679">
                  <c:v>166.06642099999999</c:v>
                </c:pt>
                <c:pt idx="680">
                  <c:v>238.49870100000001</c:v>
                </c:pt>
                <c:pt idx="681">
                  <c:v>287.34459899999996</c:v>
                </c:pt>
                <c:pt idx="682">
                  <c:v>207.30205600000002</c:v>
                </c:pt>
                <c:pt idx="683">
                  <c:v>124.76215499999999</c:v>
                </c:pt>
                <c:pt idx="684">
                  <c:v>48.532853000000003</c:v>
                </c:pt>
                <c:pt idx="685">
                  <c:v>43.739114999999998</c:v>
                </c:pt>
                <c:pt idx="686">
                  <c:v>89.870743000000004</c:v>
                </c:pt>
                <c:pt idx="687">
                  <c:v>82.488242</c:v>
                </c:pt>
                <c:pt idx="688">
                  <c:v>54.149662000000006</c:v>
                </c:pt>
                <c:pt idx="689">
                  <c:v>121.52161099999999</c:v>
                </c:pt>
                <c:pt idx="690">
                  <c:v>104.99082199999999</c:v>
                </c:pt>
                <c:pt idx="691">
                  <c:v>145.16140099999998</c:v>
                </c:pt>
                <c:pt idx="692">
                  <c:v>70.450730000000007</c:v>
                </c:pt>
                <c:pt idx="693">
                  <c:v>69.69039699999999</c:v>
                </c:pt>
                <c:pt idx="694">
                  <c:v>68.809919000000008</c:v>
                </c:pt>
                <c:pt idx="695">
                  <c:v>123.05949900000002</c:v>
                </c:pt>
                <c:pt idx="696">
                  <c:v>131.29952399999996</c:v>
                </c:pt>
                <c:pt idx="697">
                  <c:v>134.25025600000001</c:v>
                </c:pt>
                <c:pt idx="698">
                  <c:v>48.601282999999995</c:v>
                </c:pt>
                <c:pt idx="699">
                  <c:v>68.322485999999984</c:v>
                </c:pt>
                <c:pt idx="700">
                  <c:v>142.81091400000003</c:v>
                </c:pt>
                <c:pt idx="701">
                  <c:v>72.598108999999994</c:v>
                </c:pt>
                <c:pt idx="702">
                  <c:v>82.396591999999998</c:v>
                </c:pt>
                <c:pt idx="703">
                  <c:v>88.937071000000003</c:v>
                </c:pt>
                <c:pt idx="704">
                  <c:v>62.164128000000005</c:v>
                </c:pt>
                <c:pt idx="705">
                  <c:v>87.728083999999996</c:v>
                </c:pt>
                <c:pt idx="706">
                  <c:v>109.579151</c:v>
                </c:pt>
                <c:pt idx="707">
                  <c:v>173.706166</c:v>
                </c:pt>
                <c:pt idx="708">
                  <c:v>152.71892700000001</c:v>
                </c:pt>
                <c:pt idx="709">
                  <c:v>101.569981</c:v>
                </c:pt>
                <c:pt idx="710">
                  <c:v>123.192919</c:v>
                </c:pt>
                <c:pt idx="711">
                  <c:v>180.176861</c:v>
                </c:pt>
                <c:pt idx="712">
                  <c:v>171.15812199999999</c:v>
                </c:pt>
                <c:pt idx="713">
                  <c:v>240.77670799999999</c:v>
                </c:pt>
                <c:pt idx="714">
                  <c:v>122.40937699999999</c:v>
                </c:pt>
                <c:pt idx="715">
                  <c:v>64.257786999999993</c:v>
                </c:pt>
                <c:pt idx="716">
                  <c:v>84.683417000000006</c:v>
                </c:pt>
                <c:pt idx="717">
                  <c:v>103.316154</c:v>
                </c:pt>
                <c:pt idx="718">
                  <c:v>61.231966</c:v>
                </c:pt>
                <c:pt idx="719">
                  <c:v>92.967826999999986</c:v>
                </c:pt>
                <c:pt idx="720">
                  <c:v>103.387033</c:v>
                </c:pt>
                <c:pt idx="721">
                  <c:v>111.11902099999999</c:v>
                </c:pt>
                <c:pt idx="722">
                  <c:v>120.56154800000002</c:v>
                </c:pt>
                <c:pt idx="723">
                  <c:v>138.59159599999998</c:v>
                </c:pt>
                <c:pt idx="724">
                  <c:v>107.176824</c:v>
                </c:pt>
                <c:pt idx="725">
                  <c:v>75.98342199999999</c:v>
                </c:pt>
                <c:pt idx="726">
                  <c:v>67.576924999999989</c:v>
                </c:pt>
                <c:pt idx="727">
                  <c:v>57.877192999999998</c:v>
                </c:pt>
                <c:pt idx="728">
                  <c:v>68.565592999999993</c:v>
                </c:pt>
                <c:pt idx="729">
                  <c:v>111.873481</c:v>
                </c:pt>
                <c:pt idx="730">
                  <c:v>94.753359000000017</c:v>
                </c:pt>
                <c:pt idx="731">
                  <c:v>172.06723700000001</c:v>
                </c:pt>
                <c:pt idx="732">
                  <c:v>136.72860900000001</c:v>
                </c:pt>
                <c:pt idx="733">
                  <c:v>166.586546</c:v>
                </c:pt>
                <c:pt idx="734">
                  <c:v>144.22544300000001</c:v>
                </c:pt>
                <c:pt idx="735">
                  <c:v>85.398071999999999</c:v>
                </c:pt>
                <c:pt idx="736">
                  <c:v>109.51207799999999</c:v>
                </c:pt>
                <c:pt idx="737">
                  <c:v>106.124251</c:v>
                </c:pt>
                <c:pt idx="738">
                  <c:v>182.16705100000001</c:v>
                </c:pt>
                <c:pt idx="739">
                  <c:v>197.21539500000003</c:v>
                </c:pt>
                <c:pt idx="740">
                  <c:v>201.70857199999998</c:v>
                </c:pt>
                <c:pt idx="741">
                  <c:v>178.796052</c:v>
                </c:pt>
                <c:pt idx="742">
                  <c:v>105.25317600000001</c:v>
                </c:pt>
                <c:pt idx="743">
                  <c:v>69.306298999999996</c:v>
                </c:pt>
                <c:pt idx="744">
                  <c:v>65.093827000000005</c:v>
                </c:pt>
                <c:pt idx="745">
                  <c:v>41.971945999999996</c:v>
                </c:pt>
                <c:pt idx="746">
                  <c:v>83.831299999999999</c:v>
                </c:pt>
                <c:pt idx="747">
                  <c:v>113.15520300000001</c:v>
                </c:pt>
                <c:pt idx="748">
                  <c:v>114.87247499999999</c:v>
                </c:pt>
                <c:pt idx="749">
                  <c:v>142.96197599999999</c:v>
                </c:pt>
                <c:pt idx="750">
                  <c:v>160.83565200000001</c:v>
                </c:pt>
                <c:pt idx="751">
                  <c:v>142.05399300000002</c:v>
                </c:pt>
                <c:pt idx="752">
                  <c:v>111.80208799999998</c:v>
                </c:pt>
                <c:pt idx="753">
                  <c:v>117.688106</c:v>
                </c:pt>
                <c:pt idx="754">
                  <c:v>157.42942199999999</c:v>
                </c:pt>
                <c:pt idx="755">
                  <c:v>100.43593399999999</c:v>
                </c:pt>
                <c:pt idx="756">
                  <c:v>92.335983000000013</c:v>
                </c:pt>
                <c:pt idx="757">
                  <c:v>104.257893</c:v>
                </c:pt>
                <c:pt idx="758">
                  <c:v>183.717052</c:v>
                </c:pt>
                <c:pt idx="759">
                  <c:v>140.59270699999999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4'!$D$2:$D$762</c:f>
              <c:numCache>
                <c:formatCode>#,##0.0</c:formatCode>
                <c:ptCount val="761"/>
                <c:pt idx="0">
                  <c:v>129.02325388424765</c:v>
                </c:pt>
                <c:pt idx="1">
                  <c:v>129.02325388424765</c:v>
                </c:pt>
                <c:pt idx="2">
                  <c:v>129.02325388424765</c:v>
                </c:pt>
                <c:pt idx="3">
                  <c:v>129.02325388424765</c:v>
                </c:pt>
                <c:pt idx="4">
                  <c:v>129.02325388424765</c:v>
                </c:pt>
                <c:pt idx="5">
                  <c:v>129.02325388424765</c:v>
                </c:pt>
                <c:pt idx="6">
                  <c:v>129.02325388424765</c:v>
                </c:pt>
                <c:pt idx="7">
                  <c:v>129.02325388424765</c:v>
                </c:pt>
                <c:pt idx="8">
                  <c:v>129.02325388424765</c:v>
                </c:pt>
                <c:pt idx="9">
                  <c:v>129.02325388424765</c:v>
                </c:pt>
                <c:pt idx="10">
                  <c:v>129.02325388424765</c:v>
                </c:pt>
                <c:pt idx="11">
                  <c:v>129.02325388424765</c:v>
                </c:pt>
                <c:pt idx="12">
                  <c:v>129.02325388424765</c:v>
                </c:pt>
                <c:pt idx="13">
                  <c:v>129.02325388424765</c:v>
                </c:pt>
                <c:pt idx="14">
                  <c:v>129.02325388424765</c:v>
                </c:pt>
                <c:pt idx="15">
                  <c:v>129.02325388424765</c:v>
                </c:pt>
                <c:pt idx="16">
                  <c:v>129.02325388424765</c:v>
                </c:pt>
                <c:pt idx="17">
                  <c:v>129.02325388424765</c:v>
                </c:pt>
                <c:pt idx="18">
                  <c:v>129.02325388424765</c:v>
                </c:pt>
                <c:pt idx="19">
                  <c:v>129.02325388424765</c:v>
                </c:pt>
                <c:pt idx="20">
                  <c:v>129.02325388424765</c:v>
                </c:pt>
                <c:pt idx="21">
                  <c:v>129.02325388424765</c:v>
                </c:pt>
                <c:pt idx="22">
                  <c:v>129.02325388424765</c:v>
                </c:pt>
                <c:pt idx="23">
                  <c:v>129.02325388424765</c:v>
                </c:pt>
                <c:pt idx="24">
                  <c:v>129.02325388424765</c:v>
                </c:pt>
                <c:pt idx="25">
                  <c:v>129.02325388424765</c:v>
                </c:pt>
                <c:pt idx="26">
                  <c:v>129.02325388424765</c:v>
                </c:pt>
                <c:pt idx="27">
                  <c:v>129.02325388424765</c:v>
                </c:pt>
                <c:pt idx="28">
                  <c:v>129.02325388424765</c:v>
                </c:pt>
                <c:pt idx="29">
                  <c:v>129.02325388424765</c:v>
                </c:pt>
                <c:pt idx="30">
                  <c:v>138.70177485350828</c:v>
                </c:pt>
                <c:pt idx="31">
                  <c:v>138.70177485350828</c:v>
                </c:pt>
                <c:pt idx="32">
                  <c:v>138.70177485350828</c:v>
                </c:pt>
                <c:pt idx="33">
                  <c:v>138.70177485350828</c:v>
                </c:pt>
                <c:pt idx="34">
                  <c:v>138.70177485350828</c:v>
                </c:pt>
                <c:pt idx="35">
                  <c:v>138.70177485350828</c:v>
                </c:pt>
                <c:pt idx="36">
                  <c:v>138.70177485350828</c:v>
                </c:pt>
                <c:pt idx="37">
                  <c:v>138.70177485350828</c:v>
                </c:pt>
                <c:pt idx="38">
                  <c:v>138.70177485350828</c:v>
                </c:pt>
                <c:pt idx="39">
                  <c:v>138.70177485350828</c:v>
                </c:pt>
                <c:pt idx="40">
                  <c:v>138.70177485350828</c:v>
                </c:pt>
                <c:pt idx="41">
                  <c:v>138.70177485350828</c:v>
                </c:pt>
                <c:pt idx="42">
                  <c:v>138.70177485350828</c:v>
                </c:pt>
                <c:pt idx="43">
                  <c:v>138.70177485350828</c:v>
                </c:pt>
                <c:pt idx="44">
                  <c:v>138.70177485350828</c:v>
                </c:pt>
                <c:pt idx="45">
                  <c:v>138.70177485350828</c:v>
                </c:pt>
                <c:pt idx="46">
                  <c:v>138.70177485350828</c:v>
                </c:pt>
                <c:pt idx="47">
                  <c:v>138.70177485350828</c:v>
                </c:pt>
                <c:pt idx="48">
                  <c:v>138.70177485350828</c:v>
                </c:pt>
                <c:pt idx="49">
                  <c:v>138.70177485350828</c:v>
                </c:pt>
                <c:pt idx="50">
                  <c:v>138.70177485350828</c:v>
                </c:pt>
                <c:pt idx="51">
                  <c:v>138.70177485350828</c:v>
                </c:pt>
                <c:pt idx="52">
                  <c:v>138.70177485350828</c:v>
                </c:pt>
                <c:pt idx="53">
                  <c:v>138.70177485350828</c:v>
                </c:pt>
                <c:pt idx="54">
                  <c:v>138.70177485350828</c:v>
                </c:pt>
                <c:pt idx="55">
                  <c:v>138.70177485350828</c:v>
                </c:pt>
                <c:pt idx="56">
                  <c:v>138.70177485350828</c:v>
                </c:pt>
                <c:pt idx="57">
                  <c:v>138.70177485350828</c:v>
                </c:pt>
                <c:pt idx="58">
                  <c:v>138.70177485350828</c:v>
                </c:pt>
                <c:pt idx="59">
                  <c:v>138.70177485350828</c:v>
                </c:pt>
                <c:pt idx="60">
                  <c:v>138.70177485350828</c:v>
                </c:pt>
                <c:pt idx="61">
                  <c:v>133.11991266435626</c:v>
                </c:pt>
                <c:pt idx="62">
                  <c:v>133.11991266435626</c:v>
                </c:pt>
                <c:pt idx="63">
                  <c:v>133.11991266435626</c:v>
                </c:pt>
                <c:pt idx="64">
                  <c:v>133.11991266435626</c:v>
                </c:pt>
                <c:pt idx="65">
                  <c:v>133.11991266435626</c:v>
                </c:pt>
                <c:pt idx="66">
                  <c:v>133.11991266435626</c:v>
                </c:pt>
                <c:pt idx="67">
                  <c:v>133.11991266435626</c:v>
                </c:pt>
                <c:pt idx="68">
                  <c:v>133.11991266435626</c:v>
                </c:pt>
                <c:pt idx="69">
                  <c:v>133.11991266435626</c:v>
                </c:pt>
                <c:pt idx="70">
                  <c:v>133.11991266435626</c:v>
                </c:pt>
                <c:pt idx="71">
                  <c:v>133.11991266435626</c:v>
                </c:pt>
                <c:pt idx="72">
                  <c:v>133.11991266435626</c:v>
                </c:pt>
                <c:pt idx="73">
                  <c:v>133.11991266435626</c:v>
                </c:pt>
                <c:pt idx="74">
                  <c:v>133.11991266435626</c:v>
                </c:pt>
                <c:pt idx="75">
                  <c:v>133.11991266435626</c:v>
                </c:pt>
                <c:pt idx="76">
                  <c:v>133.11991266435626</c:v>
                </c:pt>
                <c:pt idx="77">
                  <c:v>133.11991266435626</c:v>
                </c:pt>
                <c:pt idx="78">
                  <c:v>133.11991266435626</c:v>
                </c:pt>
                <c:pt idx="79">
                  <c:v>133.11991266435626</c:v>
                </c:pt>
                <c:pt idx="80">
                  <c:v>133.11991266435626</c:v>
                </c:pt>
                <c:pt idx="81">
                  <c:v>133.11991266435626</c:v>
                </c:pt>
                <c:pt idx="82">
                  <c:v>133.11991266435626</c:v>
                </c:pt>
                <c:pt idx="83">
                  <c:v>133.11991266435626</c:v>
                </c:pt>
                <c:pt idx="84">
                  <c:v>133.11991266435626</c:v>
                </c:pt>
                <c:pt idx="85">
                  <c:v>133.11991266435626</c:v>
                </c:pt>
                <c:pt idx="86">
                  <c:v>133.11991266435626</c:v>
                </c:pt>
                <c:pt idx="87">
                  <c:v>133.11991266435626</c:v>
                </c:pt>
                <c:pt idx="88">
                  <c:v>133.11991266435626</c:v>
                </c:pt>
                <c:pt idx="89">
                  <c:v>133.11991266435626</c:v>
                </c:pt>
                <c:pt idx="90">
                  <c:v>133.11991266435626</c:v>
                </c:pt>
                <c:pt idx="91">
                  <c:v>133.11991266435626</c:v>
                </c:pt>
                <c:pt idx="92">
                  <c:v>125.78858308260811</c:v>
                </c:pt>
                <c:pt idx="93">
                  <c:v>125.78858308260811</c:v>
                </c:pt>
                <c:pt idx="94">
                  <c:v>125.78858308260811</c:v>
                </c:pt>
                <c:pt idx="95">
                  <c:v>125.78858308260811</c:v>
                </c:pt>
                <c:pt idx="96">
                  <c:v>125.78858308260811</c:v>
                </c:pt>
                <c:pt idx="97">
                  <c:v>125.78858308260811</c:v>
                </c:pt>
                <c:pt idx="98">
                  <c:v>125.78858308260811</c:v>
                </c:pt>
                <c:pt idx="99">
                  <c:v>125.78858308260811</c:v>
                </c:pt>
                <c:pt idx="100">
                  <c:v>125.78858308260811</c:v>
                </c:pt>
                <c:pt idx="101">
                  <c:v>125.78858308260811</c:v>
                </c:pt>
                <c:pt idx="102">
                  <c:v>125.78858308260811</c:v>
                </c:pt>
                <c:pt idx="103">
                  <c:v>125.78858308260811</c:v>
                </c:pt>
                <c:pt idx="104">
                  <c:v>125.78858308260811</c:v>
                </c:pt>
                <c:pt idx="105">
                  <c:v>125.78858308260811</c:v>
                </c:pt>
                <c:pt idx="106">
                  <c:v>125.78858308260811</c:v>
                </c:pt>
                <c:pt idx="107">
                  <c:v>125.78858308260811</c:v>
                </c:pt>
                <c:pt idx="108">
                  <c:v>125.78858308260811</c:v>
                </c:pt>
                <c:pt idx="109">
                  <c:v>125.78858308260811</c:v>
                </c:pt>
                <c:pt idx="110">
                  <c:v>125.78858308260811</c:v>
                </c:pt>
                <c:pt idx="111">
                  <c:v>125.78858308260811</c:v>
                </c:pt>
                <c:pt idx="112">
                  <c:v>125.78858308260811</c:v>
                </c:pt>
                <c:pt idx="113">
                  <c:v>125.78858308260811</c:v>
                </c:pt>
                <c:pt idx="114">
                  <c:v>125.78858308260811</c:v>
                </c:pt>
                <c:pt idx="115">
                  <c:v>125.78858308260811</c:v>
                </c:pt>
                <c:pt idx="116">
                  <c:v>125.78858308260811</c:v>
                </c:pt>
                <c:pt idx="117">
                  <c:v>125.78858308260811</c:v>
                </c:pt>
                <c:pt idx="118">
                  <c:v>125.78858308260811</c:v>
                </c:pt>
                <c:pt idx="119">
                  <c:v>125.78858308260811</c:v>
                </c:pt>
                <c:pt idx="120">
                  <c:v>125.78858308260811</c:v>
                </c:pt>
                <c:pt idx="121">
                  <c:v>125.78858308260811</c:v>
                </c:pt>
                <c:pt idx="122">
                  <c:v>158.80210789564634</c:v>
                </c:pt>
                <c:pt idx="123">
                  <c:v>158.80210789564634</c:v>
                </c:pt>
                <c:pt idx="124">
                  <c:v>158.80210789564634</c:v>
                </c:pt>
                <c:pt idx="125">
                  <c:v>158.80210789564634</c:v>
                </c:pt>
                <c:pt idx="126">
                  <c:v>158.80210789564634</c:v>
                </c:pt>
                <c:pt idx="127">
                  <c:v>158.80210789564634</c:v>
                </c:pt>
                <c:pt idx="128">
                  <c:v>158.80210789564634</c:v>
                </c:pt>
                <c:pt idx="129">
                  <c:v>158.80210789564634</c:v>
                </c:pt>
                <c:pt idx="130">
                  <c:v>158.80210789564634</c:v>
                </c:pt>
                <c:pt idx="131">
                  <c:v>158.80210789564634</c:v>
                </c:pt>
                <c:pt idx="132">
                  <c:v>158.80210789564634</c:v>
                </c:pt>
                <c:pt idx="133">
                  <c:v>158.80210789564634</c:v>
                </c:pt>
                <c:pt idx="134">
                  <c:v>158.80210789564634</c:v>
                </c:pt>
                <c:pt idx="135">
                  <c:v>158.80210789564634</c:v>
                </c:pt>
                <c:pt idx="136">
                  <c:v>158.80210789564634</c:v>
                </c:pt>
                <c:pt idx="137">
                  <c:v>158.80210789564634</c:v>
                </c:pt>
                <c:pt idx="138">
                  <c:v>158.80210789564634</c:v>
                </c:pt>
                <c:pt idx="139">
                  <c:v>158.80210789564634</c:v>
                </c:pt>
                <c:pt idx="140">
                  <c:v>158.80210789564634</c:v>
                </c:pt>
                <c:pt idx="141">
                  <c:v>158.80210789564634</c:v>
                </c:pt>
                <c:pt idx="142">
                  <c:v>158.80210789564634</c:v>
                </c:pt>
                <c:pt idx="143">
                  <c:v>158.80210789564634</c:v>
                </c:pt>
                <c:pt idx="144">
                  <c:v>158.80210789564634</c:v>
                </c:pt>
                <c:pt idx="145">
                  <c:v>158.80210789564634</c:v>
                </c:pt>
                <c:pt idx="146">
                  <c:v>158.80210789564634</c:v>
                </c:pt>
                <c:pt idx="147">
                  <c:v>158.80210789564634</c:v>
                </c:pt>
                <c:pt idx="148">
                  <c:v>158.80210789564634</c:v>
                </c:pt>
                <c:pt idx="149">
                  <c:v>158.80210789564634</c:v>
                </c:pt>
                <c:pt idx="150">
                  <c:v>158.80210789564634</c:v>
                </c:pt>
                <c:pt idx="151">
                  <c:v>158.80210789564634</c:v>
                </c:pt>
                <c:pt idx="152">
                  <c:v>158.80210789564634</c:v>
                </c:pt>
                <c:pt idx="153">
                  <c:v>206.85103522911453</c:v>
                </c:pt>
                <c:pt idx="154">
                  <c:v>206.85103522911453</c:v>
                </c:pt>
                <c:pt idx="155">
                  <c:v>206.85103522911453</c:v>
                </c:pt>
                <c:pt idx="156">
                  <c:v>206.85103522911453</c:v>
                </c:pt>
                <c:pt idx="157">
                  <c:v>206.85103522911453</c:v>
                </c:pt>
                <c:pt idx="158">
                  <c:v>206.85103522911453</c:v>
                </c:pt>
                <c:pt idx="159">
                  <c:v>206.85103522911453</c:v>
                </c:pt>
                <c:pt idx="160">
                  <c:v>206.85103522911453</c:v>
                </c:pt>
                <c:pt idx="161">
                  <c:v>206.85103522911453</c:v>
                </c:pt>
                <c:pt idx="162">
                  <c:v>206.85103522911453</c:v>
                </c:pt>
                <c:pt idx="163">
                  <c:v>206.85103522911453</c:v>
                </c:pt>
                <c:pt idx="164">
                  <c:v>206.85103522911453</c:v>
                </c:pt>
                <c:pt idx="165">
                  <c:v>206.85103522911453</c:v>
                </c:pt>
                <c:pt idx="166">
                  <c:v>206.85103522911453</c:v>
                </c:pt>
                <c:pt idx="167">
                  <c:v>206.85103522911453</c:v>
                </c:pt>
                <c:pt idx="168">
                  <c:v>206.85103522911453</c:v>
                </c:pt>
                <c:pt idx="169">
                  <c:v>206.85103522911453</c:v>
                </c:pt>
                <c:pt idx="170">
                  <c:v>206.85103522911453</c:v>
                </c:pt>
                <c:pt idx="171">
                  <c:v>206.85103522911453</c:v>
                </c:pt>
                <c:pt idx="172">
                  <c:v>206.85103522911453</c:v>
                </c:pt>
                <c:pt idx="173">
                  <c:v>206.85103522911453</c:v>
                </c:pt>
                <c:pt idx="174">
                  <c:v>206.85103522911453</c:v>
                </c:pt>
                <c:pt idx="175">
                  <c:v>206.85103522911453</c:v>
                </c:pt>
                <c:pt idx="176">
                  <c:v>206.85103522911453</c:v>
                </c:pt>
                <c:pt idx="177">
                  <c:v>206.85103522911453</c:v>
                </c:pt>
                <c:pt idx="178">
                  <c:v>206.85103522911453</c:v>
                </c:pt>
                <c:pt idx="179">
                  <c:v>206.85103522911453</c:v>
                </c:pt>
                <c:pt idx="180">
                  <c:v>206.85103522911453</c:v>
                </c:pt>
                <c:pt idx="181">
                  <c:v>206.85103522911453</c:v>
                </c:pt>
                <c:pt idx="182">
                  <c:v>206.85103522911453</c:v>
                </c:pt>
                <c:pt idx="183">
                  <c:v>197.49747085027684</c:v>
                </c:pt>
                <c:pt idx="184">
                  <c:v>197.49747085027684</c:v>
                </c:pt>
                <c:pt idx="185">
                  <c:v>197.49747085027684</c:v>
                </c:pt>
                <c:pt idx="186">
                  <c:v>197.49747085027684</c:v>
                </c:pt>
                <c:pt idx="187">
                  <c:v>197.49747085027684</c:v>
                </c:pt>
                <c:pt idx="188">
                  <c:v>197.49747085027684</c:v>
                </c:pt>
                <c:pt idx="189">
                  <c:v>197.49747085027684</c:v>
                </c:pt>
                <c:pt idx="190">
                  <c:v>197.49747085027684</c:v>
                </c:pt>
                <c:pt idx="191">
                  <c:v>197.49747085027684</c:v>
                </c:pt>
                <c:pt idx="192">
                  <c:v>197.49747085027684</c:v>
                </c:pt>
                <c:pt idx="193">
                  <c:v>197.49747085027684</c:v>
                </c:pt>
                <c:pt idx="194">
                  <c:v>197.49747085027684</c:v>
                </c:pt>
                <c:pt idx="195">
                  <c:v>197.49747085027684</c:v>
                </c:pt>
                <c:pt idx="196">
                  <c:v>197.49747085027684</c:v>
                </c:pt>
                <c:pt idx="197">
                  <c:v>197.49747085027684</c:v>
                </c:pt>
                <c:pt idx="198">
                  <c:v>197.49747085027684</c:v>
                </c:pt>
                <c:pt idx="199">
                  <c:v>197.49747085027684</c:v>
                </c:pt>
                <c:pt idx="200">
                  <c:v>197.49747085027684</c:v>
                </c:pt>
                <c:pt idx="201">
                  <c:v>197.49747085027684</c:v>
                </c:pt>
                <c:pt idx="202">
                  <c:v>197.49747085027684</c:v>
                </c:pt>
                <c:pt idx="203">
                  <c:v>197.49747085027684</c:v>
                </c:pt>
                <c:pt idx="204">
                  <c:v>197.49747085027684</c:v>
                </c:pt>
                <c:pt idx="205">
                  <c:v>197.49747085027684</c:v>
                </c:pt>
                <c:pt idx="206">
                  <c:v>197.49747085027684</c:v>
                </c:pt>
                <c:pt idx="207">
                  <c:v>197.49747085027684</c:v>
                </c:pt>
                <c:pt idx="208">
                  <c:v>197.49747085027684</c:v>
                </c:pt>
                <c:pt idx="209">
                  <c:v>197.49747085027684</c:v>
                </c:pt>
                <c:pt idx="210">
                  <c:v>197.49747085027684</c:v>
                </c:pt>
                <c:pt idx="211">
                  <c:v>197.49747085027684</c:v>
                </c:pt>
                <c:pt idx="212">
                  <c:v>197.49747085027684</c:v>
                </c:pt>
                <c:pt idx="213">
                  <c:v>197.49747085027684</c:v>
                </c:pt>
                <c:pt idx="214">
                  <c:v>226.40470537113495</c:v>
                </c:pt>
                <c:pt idx="215">
                  <c:v>226.40470537113495</c:v>
                </c:pt>
                <c:pt idx="216">
                  <c:v>226.40470537113495</c:v>
                </c:pt>
                <c:pt idx="217">
                  <c:v>226.40470537113495</c:v>
                </c:pt>
                <c:pt idx="218">
                  <c:v>226.40470537113495</c:v>
                </c:pt>
                <c:pt idx="219">
                  <c:v>226.40470537113495</c:v>
                </c:pt>
                <c:pt idx="220">
                  <c:v>226.40470537113495</c:v>
                </c:pt>
                <c:pt idx="221">
                  <c:v>226.40470537113495</c:v>
                </c:pt>
                <c:pt idx="222">
                  <c:v>226.40470537113495</c:v>
                </c:pt>
                <c:pt idx="223">
                  <c:v>226.40470537113495</c:v>
                </c:pt>
                <c:pt idx="224">
                  <c:v>226.40470537113495</c:v>
                </c:pt>
                <c:pt idx="225">
                  <c:v>226.40470537113495</c:v>
                </c:pt>
                <c:pt idx="226">
                  <c:v>226.40470537113495</c:v>
                </c:pt>
                <c:pt idx="227">
                  <c:v>226.40470537113495</c:v>
                </c:pt>
                <c:pt idx="228">
                  <c:v>226.40470537113495</c:v>
                </c:pt>
                <c:pt idx="229">
                  <c:v>226.40470537113495</c:v>
                </c:pt>
                <c:pt idx="230">
                  <c:v>226.40470537113495</c:v>
                </c:pt>
                <c:pt idx="231">
                  <c:v>226.40470537113495</c:v>
                </c:pt>
                <c:pt idx="232">
                  <c:v>226.40470537113495</c:v>
                </c:pt>
                <c:pt idx="233">
                  <c:v>226.40470537113495</c:v>
                </c:pt>
                <c:pt idx="234">
                  <c:v>226.40470537113495</c:v>
                </c:pt>
                <c:pt idx="235">
                  <c:v>226.40470537113495</c:v>
                </c:pt>
                <c:pt idx="236">
                  <c:v>226.40470537113495</c:v>
                </c:pt>
                <c:pt idx="237">
                  <c:v>226.40470537113495</c:v>
                </c:pt>
                <c:pt idx="238">
                  <c:v>226.40470537113495</c:v>
                </c:pt>
                <c:pt idx="239">
                  <c:v>226.40470537113495</c:v>
                </c:pt>
                <c:pt idx="240">
                  <c:v>226.40470537113495</c:v>
                </c:pt>
                <c:pt idx="241">
                  <c:v>226.40470537113495</c:v>
                </c:pt>
                <c:pt idx="242">
                  <c:v>226.40470537113495</c:v>
                </c:pt>
                <c:pt idx="243">
                  <c:v>226.40470537113495</c:v>
                </c:pt>
                <c:pt idx="244">
                  <c:v>226.40470537113495</c:v>
                </c:pt>
                <c:pt idx="245">
                  <c:v>230.08779404005472</c:v>
                </c:pt>
                <c:pt idx="246">
                  <c:v>230.08779404005472</c:v>
                </c:pt>
                <c:pt idx="247">
                  <c:v>230.08779404005472</c:v>
                </c:pt>
                <c:pt idx="248">
                  <c:v>230.08779404005472</c:v>
                </c:pt>
                <c:pt idx="249">
                  <c:v>230.08779404005472</c:v>
                </c:pt>
                <c:pt idx="250">
                  <c:v>230.08779404005472</c:v>
                </c:pt>
                <c:pt idx="251">
                  <c:v>230.08779404005472</c:v>
                </c:pt>
                <c:pt idx="252">
                  <c:v>230.08779404005472</c:v>
                </c:pt>
                <c:pt idx="253">
                  <c:v>230.08779404005472</c:v>
                </c:pt>
                <c:pt idx="254">
                  <c:v>230.08779404005472</c:v>
                </c:pt>
                <c:pt idx="255">
                  <c:v>230.08779404005472</c:v>
                </c:pt>
                <c:pt idx="256">
                  <c:v>230.08779404005472</c:v>
                </c:pt>
                <c:pt idx="257">
                  <c:v>230.08779404005472</c:v>
                </c:pt>
                <c:pt idx="258">
                  <c:v>230.08779404005472</c:v>
                </c:pt>
                <c:pt idx="259">
                  <c:v>230.08779404005472</c:v>
                </c:pt>
                <c:pt idx="260">
                  <c:v>230.08779404005472</c:v>
                </c:pt>
                <c:pt idx="261">
                  <c:v>230.08779404005472</c:v>
                </c:pt>
                <c:pt idx="262">
                  <c:v>230.08779404005472</c:v>
                </c:pt>
                <c:pt idx="263">
                  <c:v>230.08779404005472</c:v>
                </c:pt>
                <c:pt idx="264">
                  <c:v>230.08779404005472</c:v>
                </c:pt>
                <c:pt idx="265">
                  <c:v>230.08779404005472</c:v>
                </c:pt>
                <c:pt idx="266">
                  <c:v>230.08779404005472</c:v>
                </c:pt>
                <c:pt idx="267">
                  <c:v>230.08779404005472</c:v>
                </c:pt>
                <c:pt idx="268">
                  <c:v>230.08779404005472</c:v>
                </c:pt>
                <c:pt idx="269">
                  <c:v>230.08779404005472</c:v>
                </c:pt>
                <c:pt idx="270">
                  <c:v>230.08779404005472</c:v>
                </c:pt>
                <c:pt idx="271">
                  <c:v>230.08779404005472</c:v>
                </c:pt>
                <c:pt idx="272">
                  <c:v>230.08779404005472</c:v>
                </c:pt>
                <c:pt idx="273">
                  <c:v>230.25404321401714</c:v>
                </c:pt>
                <c:pt idx="274">
                  <c:v>230.25404321401714</c:v>
                </c:pt>
                <c:pt idx="275">
                  <c:v>230.25404321401714</c:v>
                </c:pt>
                <c:pt idx="276">
                  <c:v>230.25404321401714</c:v>
                </c:pt>
                <c:pt idx="277">
                  <c:v>230.25404321401714</c:v>
                </c:pt>
                <c:pt idx="278">
                  <c:v>230.25404321401714</c:v>
                </c:pt>
                <c:pt idx="279">
                  <c:v>230.25404321401714</c:v>
                </c:pt>
                <c:pt idx="280">
                  <c:v>230.25404321401714</c:v>
                </c:pt>
                <c:pt idx="281">
                  <c:v>230.25404321401714</c:v>
                </c:pt>
                <c:pt idx="282">
                  <c:v>230.25404321401714</c:v>
                </c:pt>
                <c:pt idx="283">
                  <c:v>230.25404321401714</c:v>
                </c:pt>
                <c:pt idx="284">
                  <c:v>230.25404321401714</c:v>
                </c:pt>
                <c:pt idx="285">
                  <c:v>230.25404321401714</c:v>
                </c:pt>
                <c:pt idx="286">
                  <c:v>230.25404321401714</c:v>
                </c:pt>
                <c:pt idx="287">
                  <c:v>230.25404321401714</c:v>
                </c:pt>
                <c:pt idx="288">
                  <c:v>230.25404321401714</c:v>
                </c:pt>
                <c:pt idx="289">
                  <c:v>230.25404321401714</c:v>
                </c:pt>
                <c:pt idx="290">
                  <c:v>230.25404321401714</c:v>
                </c:pt>
                <c:pt idx="291">
                  <c:v>230.25404321401714</c:v>
                </c:pt>
                <c:pt idx="292">
                  <c:v>230.25404321401714</c:v>
                </c:pt>
                <c:pt idx="293">
                  <c:v>230.25404321401714</c:v>
                </c:pt>
                <c:pt idx="294">
                  <c:v>230.25404321401714</c:v>
                </c:pt>
                <c:pt idx="295">
                  <c:v>230.25404321401714</c:v>
                </c:pt>
                <c:pt idx="296">
                  <c:v>230.25404321401714</c:v>
                </c:pt>
                <c:pt idx="297">
                  <c:v>230.25404321401714</c:v>
                </c:pt>
                <c:pt idx="298">
                  <c:v>230.25404321401714</c:v>
                </c:pt>
                <c:pt idx="299">
                  <c:v>230.25404321401714</c:v>
                </c:pt>
                <c:pt idx="300">
                  <c:v>230.25404321401714</c:v>
                </c:pt>
                <c:pt idx="301">
                  <c:v>230.25404321401714</c:v>
                </c:pt>
                <c:pt idx="302">
                  <c:v>230.25404321401714</c:v>
                </c:pt>
                <c:pt idx="303">
                  <c:v>230.25404321401714</c:v>
                </c:pt>
                <c:pt idx="304">
                  <c:v>182.8946310465183</c:v>
                </c:pt>
                <c:pt idx="305">
                  <c:v>182.8946310465183</c:v>
                </c:pt>
                <c:pt idx="306">
                  <c:v>182.8946310465183</c:v>
                </c:pt>
                <c:pt idx="307">
                  <c:v>182.8946310465183</c:v>
                </c:pt>
                <c:pt idx="308">
                  <c:v>182.8946310465183</c:v>
                </c:pt>
                <c:pt idx="309">
                  <c:v>182.8946310465183</c:v>
                </c:pt>
                <c:pt idx="310">
                  <c:v>182.8946310465183</c:v>
                </c:pt>
                <c:pt idx="311">
                  <c:v>182.8946310465183</c:v>
                </c:pt>
                <c:pt idx="312">
                  <c:v>182.8946310465183</c:v>
                </c:pt>
                <c:pt idx="313">
                  <c:v>182.8946310465183</c:v>
                </c:pt>
                <c:pt idx="314">
                  <c:v>182.8946310465183</c:v>
                </c:pt>
                <c:pt idx="315">
                  <c:v>182.8946310465183</c:v>
                </c:pt>
                <c:pt idx="316">
                  <c:v>182.8946310465183</c:v>
                </c:pt>
                <c:pt idx="317">
                  <c:v>182.8946310465183</c:v>
                </c:pt>
                <c:pt idx="318">
                  <c:v>182.8946310465183</c:v>
                </c:pt>
                <c:pt idx="319">
                  <c:v>182.8946310465183</c:v>
                </c:pt>
                <c:pt idx="320">
                  <c:v>182.8946310465183</c:v>
                </c:pt>
                <c:pt idx="321">
                  <c:v>182.8946310465183</c:v>
                </c:pt>
                <c:pt idx="322">
                  <c:v>182.8946310465183</c:v>
                </c:pt>
                <c:pt idx="323">
                  <c:v>182.8946310465183</c:v>
                </c:pt>
                <c:pt idx="324">
                  <c:v>182.8946310465183</c:v>
                </c:pt>
                <c:pt idx="325">
                  <c:v>182.8946310465183</c:v>
                </c:pt>
                <c:pt idx="326">
                  <c:v>182.8946310465183</c:v>
                </c:pt>
                <c:pt idx="327">
                  <c:v>182.8946310465183</c:v>
                </c:pt>
                <c:pt idx="328">
                  <c:v>182.8946310465183</c:v>
                </c:pt>
                <c:pt idx="329">
                  <c:v>182.8946310465183</c:v>
                </c:pt>
                <c:pt idx="330">
                  <c:v>182.8946310465183</c:v>
                </c:pt>
                <c:pt idx="331">
                  <c:v>182.8946310465183</c:v>
                </c:pt>
                <c:pt idx="332">
                  <c:v>182.8946310465183</c:v>
                </c:pt>
                <c:pt idx="333">
                  <c:v>182.8946310465183</c:v>
                </c:pt>
                <c:pt idx="334">
                  <c:v>169.33205925204089</c:v>
                </c:pt>
                <c:pt idx="335">
                  <c:v>169.33205925204089</c:v>
                </c:pt>
                <c:pt idx="336">
                  <c:v>169.33205925204089</c:v>
                </c:pt>
                <c:pt idx="337">
                  <c:v>169.33205925204089</c:v>
                </c:pt>
                <c:pt idx="338">
                  <c:v>169.33205925204089</c:v>
                </c:pt>
                <c:pt idx="339">
                  <c:v>169.33205925204089</c:v>
                </c:pt>
                <c:pt idx="340">
                  <c:v>169.33205925204089</c:v>
                </c:pt>
                <c:pt idx="341">
                  <c:v>169.33205925204089</c:v>
                </c:pt>
                <c:pt idx="342">
                  <c:v>169.33205925204089</c:v>
                </c:pt>
                <c:pt idx="343">
                  <c:v>169.33205925204089</c:v>
                </c:pt>
                <c:pt idx="344">
                  <c:v>169.33205925204089</c:v>
                </c:pt>
                <c:pt idx="345">
                  <c:v>169.33205925204089</c:v>
                </c:pt>
                <c:pt idx="346">
                  <c:v>169.33205925204089</c:v>
                </c:pt>
                <c:pt idx="347">
                  <c:v>169.33205925204089</c:v>
                </c:pt>
                <c:pt idx="348">
                  <c:v>169.33205925204089</c:v>
                </c:pt>
                <c:pt idx="349">
                  <c:v>169.33205925204089</c:v>
                </c:pt>
                <c:pt idx="350">
                  <c:v>169.33205925204089</c:v>
                </c:pt>
                <c:pt idx="351">
                  <c:v>169.33205925204089</c:v>
                </c:pt>
                <c:pt idx="352">
                  <c:v>169.33205925204089</c:v>
                </c:pt>
                <c:pt idx="353">
                  <c:v>169.33205925204089</c:v>
                </c:pt>
                <c:pt idx="354">
                  <c:v>169.33205925204089</c:v>
                </c:pt>
                <c:pt idx="355">
                  <c:v>169.33205925204089</c:v>
                </c:pt>
                <c:pt idx="356">
                  <c:v>169.33205925204089</c:v>
                </c:pt>
                <c:pt idx="357">
                  <c:v>169.33205925204089</c:v>
                </c:pt>
                <c:pt idx="358">
                  <c:v>169.33205925204089</c:v>
                </c:pt>
                <c:pt idx="359">
                  <c:v>169.33205925204089</c:v>
                </c:pt>
                <c:pt idx="360">
                  <c:v>169.33205925204089</c:v>
                </c:pt>
                <c:pt idx="361">
                  <c:v>169.33205925204089</c:v>
                </c:pt>
                <c:pt idx="362">
                  <c:v>169.33205925204089</c:v>
                </c:pt>
                <c:pt idx="363">
                  <c:v>169.33205925204089</c:v>
                </c:pt>
                <c:pt idx="364">
                  <c:v>169.33205925204089</c:v>
                </c:pt>
                <c:pt idx="365">
                  <c:v>134.23954108515446</c:v>
                </c:pt>
                <c:pt idx="366">
                  <c:v>134.23954108515446</c:v>
                </c:pt>
                <c:pt idx="367">
                  <c:v>134.23954108515446</c:v>
                </c:pt>
                <c:pt idx="368">
                  <c:v>134.23954108515446</c:v>
                </c:pt>
                <c:pt idx="369">
                  <c:v>134.23954108515446</c:v>
                </c:pt>
                <c:pt idx="370">
                  <c:v>134.23954108515446</c:v>
                </c:pt>
                <c:pt idx="371">
                  <c:v>134.23954108515446</c:v>
                </c:pt>
                <c:pt idx="372">
                  <c:v>134.23954108515446</c:v>
                </c:pt>
                <c:pt idx="373">
                  <c:v>134.23954108515446</c:v>
                </c:pt>
                <c:pt idx="374">
                  <c:v>134.23954108515446</c:v>
                </c:pt>
                <c:pt idx="375">
                  <c:v>134.23954108515446</c:v>
                </c:pt>
                <c:pt idx="376">
                  <c:v>134.23954108515446</c:v>
                </c:pt>
                <c:pt idx="377">
                  <c:v>134.23954108515446</c:v>
                </c:pt>
                <c:pt idx="378">
                  <c:v>134.23954108515446</c:v>
                </c:pt>
                <c:pt idx="379">
                  <c:v>134.23954108515446</c:v>
                </c:pt>
                <c:pt idx="380">
                  <c:v>134.23954108515446</c:v>
                </c:pt>
                <c:pt idx="381">
                  <c:v>134.23954108515446</c:v>
                </c:pt>
                <c:pt idx="382">
                  <c:v>134.23954108515446</c:v>
                </c:pt>
                <c:pt idx="383">
                  <c:v>134.23954108515446</c:v>
                </c:pt>
                <c:pt idx="384">
                  <c:v>134.23954108515446</c:v>
                </c:pt>
                <c:pt idx="385">
                  <c:v>134.23954108515446</c:v>
                </c:pt>
                <c:pt idx="386">
                  <c:v>134.23954108515446</c:v>
                </c:pt>
                <c:pt idx="387">
                  <c:v>134.23954108515446</c:v>
                </c:pt>
                <c:pt idx="388">
                  <c:v>134.23954108515446</c:v>
                </c:pt>
                <c:pt idx="389">
                  <c:v>134.23954108515446</c:v>
                </c:pt>
                <c:pt idx="390">
                  <c:v>134.23954108515446</c:v>
                </c:pt>
                <c:pt idx="391">
                  <c:v>134.23954108515446</c:v>
                </c:pt>
                <c:pt idx="392">
                  <c:v>134.23954108515446</c:v>
                </c:pt>
                <c:pt idx="393">
                  <c:v>134.23954108515446</c:v>
                </c:pt>
                <c:pt idx="394">
                  <c:v>134.23954108515446</c:v>
                </c:pt>
                <c:pt idx="395">
                  <c:v>142.13676927747508</c:v>
                </c:pt>
                <c:pt idx="396">
                  <c:v>142.13676927747508</c:v>
                </c:pt>
                <c:pt idx="397">
                  <c:v>142.13676927747508</c:v>
                </c:pt>
                <c:pt idx="398">
                  <c:v>142.13676927747508</c:v>
                </c:pt>
                <c:pt idx="399">
                  <c:v>142.13676927747508</c:v>
                </c:pt>
                <c:pt idx="400">
                  <c:v>142.13676927747508</c:v>
                </c:pt>
                <c:pt idx="401">
                  <c:v>142.13676927747508</c:v>
                </c:pt>
                <c:pt idx="402">
                  <c:v>142.13676927747508</c:v>
                </c:pt>
                <c:pt idx="403">
                  <c:v>142.13676927747508</c:v>
                </c:pt>
                <c:pt idx="404">
                  <c:v>142.13676927747508</c:v>
                </c:pt>
                <c:pt idx="405">
                  <c:v>142.13676927747508</c:v>
                </c:pt>
                <c:pt idx="406">
                  <c:v>142.13676927747508</c:v>
                </c:pt>
                <c:pt idx="407">
                  <c:v>142.13676927747508</c:v>
                </c:pt>
                <c:pt idx="408">
                  <c:v>142.13676927747508</c:v>
                </c:pt>
                <c:pt idx="409">
                  <c:v>142.13676927747508</c:v>
                </c:pt>
                <c:pt idx="410">
                  <c:v>142.13676927747508</c:v>
                </c:pt>
                <c:pt idx="411">
                  <c:v>142.13676927747508</c:v>
                </c:pt>
                <c:pt idx="412">
                  <c:v>142.13676927747508</c:v>
                </c:pt>
                <c:pt idx="413">
                  <c:v>142.13676927747508</c:v>
                </c:pt>
                <c:pt idx="414">
                  <c:v>142.13676927747508</c:v>
                </c:pt>
                <c:pt idx="415">
                  <c:v>142.13676927747508</c:v>
                </c:pt>
                <c:pt idx="416">
                  <c:v>142.13676927747508</c:v>
                </c:pt>
                <c:pt idx="417">
                  <c:v>142.13676927747508</c:v>
                </c:pt>
                <c:pt idx="418">
                  <c:v>142.13676927747508</c:v>
                </c:pt>
                <c:pt idx="419">
                  <c:v>142.13676927747508</c:v>
                </c:pt>
                <c:pt idx="420">
                  <c:v>142.13676927747508</c:v>
                </c:pt>
                <c:pt idx="421">
                  <c:v>142.13676927747508</c:v>
                </c:pt>
                <c:pt idx="422">
                  <c:v>142.13676927747508</c:v>
                </c:pt>
                <c:pt idx="423">
                  <c:v>142.13676927747508</c:v>
                </c:pt>
                <c:pt idx="424">
                  <c:v>142.13676927747508</c:v>
                </c:pt>
                <c:pt idx="425">
                  <c:v>142.13676927747508</c:v>
                </c:pt>
                <c:pt idx="426">
                  <c:v>138.63663340514475</c:v>
                </c:pt>
                <c:pt idx="427">
                  <c:v>138.63663340514475</c:v>
                </c:pt>
                <c:pt idx="428">
                  <c:v>138.63663340514475</c:v>
                </c:pt>
                <c:pt idx="429">
                  <c:v>138.63663340514475</c:v>
                </c:pt>
                <c:pt idx="430">
                  <c:v>138.63663340514475</c:v>
                </c:pt>
                <c:pt idx="431">
                  <c:v>138.63663340514475</c:v>
                </c:pt>
                <c:pt idx="432">
                  <c:v>138.63663340514475</c:v>
                </c:pt>
                <c:pt idx="433">
                  <c:v>138.63663340514475</c:v>
                </c:pt>
                <c:pt idx="434">
                  <c:v>138.63663340514475</c:v>
                </c:pt>
                <c:pt idx="435">
                  <c:v>138.63663340514475</c:v>
                </c:pt>
                <c:pt idx="436">
                  <c:v>138.63663340514475</c:v>
                </c:pt>
                <c:pt idx="437">
                  <c:v>138.63663340514475</c:v>
                </c:pt>
                <c:pt idx="438">
                  <c:v>138.63663340514475</c:v>
                </c:pt>
                <c:pt idx="439">
                  <c:v>138.63663340514475</c:v>
                </c:pt>
                <c:pt idx="440">
                  <c:v>138.63663340514475</c:v>
                </c:pt>
                <c:pt idx="441">
                  <c:v>138.63663340514475</c:v>
                </c:pt>
                <c:pt idx="442">
                  <c:v>138.63663340514475</c:v>
                </c:pt>
                <c:pt idx="443">
                  <c:v>138.63663340514475</c:v>
                </c:pt>
                <c:pt idx="444">
                  <c:v>138.63663340514475</c:v>
                </c:pt>
                <c:pt idx="445">
                  <c:v>138.63663340514475</c:v>
                </c:pt>
                <c:pt idx="446">
                  <c:v>138.63663340514475</c:v>
                </c:pt>
                <c:pt idx="447">
                  <c:v>138.63663340514475</c:v>
                </c:pt>
                <c:pt idx="448">
                  <c:v>138.63663340514475</c:v>
                </c:pt>
                <c:pt idx="449">
                  <c:v>138.63663340514475</c:v>
                </c:pt>
                <c:pt idx="450">
                  <c:v>138.63663340514475</c:v>
                </c:pt>
                <c:pt idx="451">
                  <c:v>138.63663340514475</c:v>
                </c:pt>
                <c:pt idx="452">
                  <c:v>138.63663340514475</c:v>
                </c:pt>
                <c:pt idx="453">
                  <c:v>138.63663340514475</c:v>
                </c:pt>
                <c:pt idx="454">
                  <c:v>138.63663340514475</c:v>
                </c:pt>
                <c:pt idx="455">
                  <c:v>138.63663340514475</c:v>
                </c:pt>
                <c:pt idx="456">
                  <c:v>138.63663340514475</c:v>
                </c:pt>
                <c:pt idx="457">
                  <c:v>136.80785408336422</c:v>
                </c:pt>
                <c:pt idx="458">
                  <c:v>136.80785408336422</c:v>
                </c:pt>
                <c:pt idx="459">
                  <c:v>136.80785408336422</c:v>
                </c:pt>
                <c:pt idx="460">
                  <c:v>136.80785408336422</c:v>
                </c:pt>
                <c:pt idx="461">
                  <c:v>136.80785408336422</c:v>
                </c:pt>
                <c:pt idx="462">
                  <c:v>136.80785408336422</c:v>
                </c:pt>
                <c:pt idx="463">
                  <c:v>136.80785408336422</c:v>
                </c:pt>
                <c:pt idx="464">
                  <c:v>136.80785408336422</c:v>
                </c:pt>
                <c:pt idx="465">
                  <c:v>136.80785408336422</c:v>
                </c:pt>
                <c:pt idx="466">
                  <c:v>136.80785408336422</c:v>
                </c:pt>
                <c:pt idx="467">
                  <c:v>136.80785408336422</c:v>
                </c:pt>
                <c:pt idx="468">
                  <c:v>136.80785408336422</c:v>
                </c:pt>
                <c:pt idx="469">
                  <c:v>136.80785408336422</c:v>
                </c:pt>
                <c:pt idx="470">
                  <c:v>136.80785408336422</c:v>
                </c:pt>
                <c:pt idx="471">
                  <c:v>136.80785408336422</c:v>
                </c:pt>
                <c:pt idx="472">
                  <c:v>136.80785408336422</c:v>
                </c:pt>
                <c:pt idx="473">
                  <c:v>136.80785408336422</c:v>
                </c:pt>
                <c:pt idx="474">
                  <c:v>136.80785408336422</c:v>
                </c:pt>
                <c:pt idx="475">
                  <c:v>136.80785408336422</c:v>
                </c:pt>
                <c:pt idx="476">
                  <c:v>136.80785408336422</c:v>
                </c:pt>
                <c:pt idx="477">
                  <c:v>136.80785408336422</c:v>
                </c:pt>
                <c:pt idx="478">
                  <c:v>136.80785408336422</c:v>
                </c:pt>
                <c:pt idx="479">
                  <c:v>136.80785408336422</c:v>
                </c:pt>
                <c:pt idx="480">
                  <c:v>136.80785408336422</c:v>
                </c:pt>
                <c:pt idx="481">
                  <c:v>136.80785408336422</c:v>
                </c:pt>
                <c:pt idx="482">
                  <c:v>136.80785408336422</c:v>
                </c:pt>
                <c:pt idx="483">
                  <c:v>136.80785408336422</c:v>
                </c:pt>
                <c:pt idx="484">
                  <c:v>136.80785408336422</c:v>
                </c:pt>
                <c:pt idx="485">
                  <c:v>136.80785408336422</c:v>
                </c:pt>
                <c:pt idx="486">
                  <c:v>136.80785408336422</c:v>
                </c:pt>
                <c:pt idx="487">
                  <c:v>168.97030143019066</c:v>
                </c:pt>
                <c:pt idx="488">
                  <c:v>168.97030143019066</c:v>
                </c:pt>
                <c:pt idx="489">
                  <c:v>168.97030143019066</c:v>
                </c:pt>
                <c:pt idx="490">
                  <c:v>168.97030143019066</c:v>
                </c:pt>
                <c:pt idx="491">
                  <c:v>168.97030143019066</c:v>
                </c:pt>
                <c:pt idx="492">
                  <c:v>168.97030143019066</c:v>
                </c:pt>
                <c:pt idx="493">
                  <c:v>168.97030143019066</c:v>
                </c:pt>
                <c:pt idx="494">
                  <c:v>168.97030143019066</c:v>
                </c:pt>
                <c:pt idx="495">
                  <c:v>168.97030143019066</c:v>
                </c:pt>
                <c:pt idx="496">
                  <c:v>168.97030143019066</c:v>
                </c:pt>
                <c:pt idx="497">
                  <c:v>168.97030143019066</c:v>
                </c:pt>
                <c:pt idx="498">
                  <c:v>168.97030143019066</c:v>
                </c:pt>
                <c:pt idx="499">
                  <c:v>168.97030143019066</c:v>
                </c:pt>
                <c:pt idx="500">
                  <c:v>168.97030143019066</c:v>
                </c:pt>
                <c:pt idx="501">
                  <c:v>168.97030143019066</c:v>
                </c:pt>
                <c:pt idx="502">
                  <c:v>168.97030143019066</c:v>
                </c:pt>
                <c:pt idx="503">
                  <c:v>168.97030143019066</c:v>
                </c:pt>
                <c:pt idx="504">
                  <c:v>168.97030143019066</c:v>
                </c:pt>
                <c:pt idx="505">
                  <c:v>168.97030143019066</c:v>
                </c:pt>
                <c:pt idx="506">
                  <c:v>168.97030143019066</c:v>
                </c:pt>
                <c:pt idx="507">
                  <c:v>168.97030143019066</c:v>
                </c:pt>
                <c:pt idx="508">
                  <c:v>168.97030143019066</c:v>
                </c:pt>
                <c:pt idx="509">
                  <c:v>168.97030143019066</c:v>
                </c:pt>
                <c:pt idx="510">
                  <c:v>168.97030143019066</c:v>
                </c:pt>
                <c:pt idx="511">
                  <c:v>168.97030143019066</c:v>
                </c:pt>
                <c:pt idx="512">
                  <c:v>168.97030143019066</c:v>
                </c:pt>
                <c:pt idx="513">
                  <c:v>168.97030143019066</c:v>
                </c:pt>
                <c:pt idx="514">
                  <c:v>168.97030143019066</c:v>
                </c:pt>
                <c:pt idx="515">
                  <c:v>168.97030143019066</c:v>
                </c:pt>
                <c:pt idx="516">
                  <c:v>168.97030143019066</c:v>
                </c:pt>
                <c:pt idx="517">
                  <c:v>168.97030143019066</c:v>
                </c:pt>
                <c:pt idx="518">
                  <c:v>208.66384323876261</c:v>
                </c:pt>
                <c:pt idx="519">
                  <c:v>208.66384323876261</c:v>
                </c:pt>
                <c:pt idx="520">
                  <c:v>208.66384323876261</c:v>
                </c:pt>
                <c:pt idx="521">
                  <c:v>208.66384323876261</c:v>
                </c:pt>
                <c:pt idx="522">
                  <c:v>208.66384323876261</c:v>
                </c:pt>
                <c:pt idx="523">
                  <c:v>208.66384323876261</c:v>
                </c:pt>
                <c:pt idx="524">
                  <c:v>208.66384323876261</c:v>
                </c:pt>
                <c:pt idx="525">
                  <c:v>208.66384323876261</c:v>
                </c:pt>
                <c:pt idx="526">
                  <c:v>208.66384323876261</c:v>
                </c:pt>
                <c:pt idx="527">
                  <c:v>208.66384323876261</c:v>
                </c:pt>
                <c:pt idx="528">
                  <c:v>208.66384323876261</c:v>
                </c:pt>
                <c:pt idx="529">
                  <c:v>208.66384323876261</c:v>
                </c:pt>
                <c:pt idx="530">
                  <c:v>208.66384323876261</c:v>
                </c:pt>
                <c:pt idx="531">
                  <c:v>208.66384323876261</c:v>
                </c:pt>
                <c:pt idx="532">
                  <c:v>208.66384323876261</c:v>
                </c:pt>
                <c:pt idx="533">
                  <c:v>208.66384323876261</c:v>
                </c:pt>
                <c:pt idx="534">
                  <c:v>208.66384323876261</c:v>
                </c:pt>
                <c:pt idx="535">
                  <c:v>208.66384323876261</c:v>
                </c:pt>
                <c:pt idx="536">
                  <c:v>208.66384323876261</c:v>
                </c:pt>
                <c:pt idx="537">
                  <c:v>208.66384323876261</c:v>
                </c:pt>
                <c:pt idx="538">
                  <c:v>208.66384323876261</c:v>
                </c:pt>
                <c:pt idx="539">
                  <c:v>208.66384323876261</c:v>
                </c:pt>
                <c:pt idx="540">
                  <c:v>208.66384323876261</c:v>
                </c:pt>
                <c:pt idx="541">
                  <c:v>208.66384323876261</c:v>
                </c:pt>
                <c:pt idx="542">
                  <c:v>208.66384323876261</c:v>
                </c:pt>
                <c:pt idx="543">
                  <c:v>208.66384323876261</c:v>
                </c:pt>
                <c:pt idx="544">
                  <c:v>208.66384323876261</c:v>
                </c:pt>
                <c:pt idx="545">
                  <c:v>208.66384323876261</c:v>
                </c:pt>
                <c:pt idx="546">
                  <c:v>208.66384323876261</c:v>
                </c:pt>
                <c:pt idx="547">
                  <c:v>208.66384323876261</c:v>
                </c:pt>
                <c:pt idx="548">
                  <c:v>201.66288660427333</c:v>
                </c:pt>
                <c:pt idx="549">
                  <c:v>201.66288660427333</c:v>
                </c:pt>
                <c:pt idx="550">
                  <c:v>201.66288660427333</c:v>
                </c:pt>
                <c:pt idx="551">
                  <c:v>201.66288660427333</c:v>
                </c:pt>
                <c:pt idx="552">
                  <c:v>201.66288660427333</c:v>
                </c:pt>
                <c:pt idx="553">
                  <c:v>201.66288660427333</c:v>
                </c:pt>
                <c:pt idx="554">
                  <c:v>201.66288660427333</c:v>
                </c:pt>
                <c:pt idx="555">
                  <c:v>201.66288660427333</c:v>
                </c:pt>
                <c:pt idx="556">
                  <c:v>201.66288660427333</c:v>
                </c:pt>
                <c:pt idx="557">
                  <c:v>201.66288660427333</c:v>
                </c:pt>
                <c:pt idx="558">
                  <c:v>201.66288660427333</c:v>
                </c:pt>
                <c:pt idx="559">
                  <c:v>201.66288660427333</c:v>
                </c:pt>
                <c:pt idx="560">
                  <c:v>201.66288660427333</c:v>
                </c:pt>
                <c:pt idx="561">
                  <c:v>201.66288660427333</c:v>
                </c:pt>
                <c:pt idx="562">
                  <c:v>201.66288660427333</c:v>
                </c:pt>
                <c:pt idx="563">
                  <c:v>201.66288660427333</c:v>
                </c:pt>
                <c:pt idx="564">
                  <c:v>201.66288660427333</c:v>
                </c:pt>
                <c:pt idx="565">
                  <c:v>201.66288660427333</c:v>
                </c:pt>
                <c:pt idx="566">
                  <c:v>201.66288660427333</c:v>
                </c:pt>
                <c:pt idx="567">
                  <c:v>201.66288660427333</c:v>
                </c:pt>
                <c:pt idx="568">
                  <c:v>201.66288660427333</c:v>
                </c:pt>
                <c:pt idx="569">
                  <c:v>201.66288660427333</c:v>
                </c:pt>
                <c:pt idx="570">
                  <c:v>201.66288660427333</c:v>
                </c:pt>
                <c:pt idx="571">
                  <c:v>201.66288660427333</c:v>
                </c:pt>
                <c:pt idx="572">
                  <c:v>201.66288660427333</c:v>
                </c:pt>
                <c:pt idx="573">
                  <c:v>201.66288660427333</c:v>
                </c:pt>
                <c:pt idx="574">
                  <c:v>201.66288660427333</c:v>
                </c:pt>
                <c:pt idx="575">
                  <c:v>201.66288660427333</c:v>
                </c:pt>
                <c:pt idx="576">
                  <c:v>201.66288660427333</c:v>
                </c:pt>
                <c:pt idx="577">
                  <c:v>201.66288660427333</c:v>
                </c:pt>
                <c:pt idx="578">
                  <c:v>201.66288660427333</c:v>
                </c:pt>
                <c:pt idx="579">
                  <c:v>236.87341047162496</c:v>
                </c:pt>
                <c:pt idx="580">
                  <c:v>236.87341047162496</c:v>
                </c:pt>
                <c:pt idx="581">
                  <c:v>236.87341047162496</c:v>
                </c:pt>
                <c:pt idx="582">
                  <c:v>236.87341047162496</c:v>
                </c:pt>
                <c:pt idx="583">
                  <c:v>236.87341047162496</c:v>
                </c:pt>
                <c:pt idx="584">
                  <c:v>236.87341047162496</c:v>
                </c:pt>
                <c:pt idx="585">
                  <c:v>236.87341047162496</c:v>
                </c:pt>
                <c:pt idx="586">
                  <c:v>236.87341047162496</c:v>
                </c:pt>
                <c:pt idx="587">
                  <c:v>236.87341047162496</c:v>
                </c:pt>
                <c:pt idx="588">
                  <c:v>236.87341047162496</c:v>
                </c:pt>
                <c:pt idx="589">
                  <c:v>236.87341047162496</c:v>
                </c:pt>
                <c:pt idx="590">
                  <c:v>236.87341047162496</c:v>
                </c:pt>
                <c:pt idx="591">
                  <c:v>236.87341047162496</c:v>
                </c:pt>
                <c:pt idx="592">
                  <c:v>236.87341047162496</c:v>
                </c:pt>
                <c:pt idx="593">
                  <c:v>236.87341047162496</c:v>
                </c:pt>
                <c:pt idx="594">
                  <c:v>236.87341047162496</c:v>
                </c:pt>
                <c:pt idx="595">
                  <c:v>236.87341047162496</c:v>
                </c:pt>
                <c:pt idx="596">
                  <c:v>236.87341047162496</c:v>
                </c:pt>
                <c:pt idx="597">
                  <c:v>236.87341047162496</c:v>
                </c:pt>
                <c:pt idx="598">
                  <c:v>236.87341047162496</c:v>
                </c:pt>
                <c:pt idx="599">
                  <c:v>236.87341047162496</c:v>
                </c:pt>
                <c:pt idx="600">
                  <c:v>236.87341047162496</c:v>
                </c:pt>
                <c:pt idx="601">
                  <c:v>236.87341047162496</c:v>
                </c:pt>
                <c:pt idx="602">
                  <c:v>236.87341047162496</c:v>
                </c:pt>
                <c:pt idx="603">
                  <c:v>236.87341047162496</c:v>
                </c:pt>
                <c:pt idx="604">
                  <c:v>236.87341047162496</c:v>
                </c:pt>
                <c:pt idx="605">
                  <c:v>236.87341047162496</c:v>
                </c:pt>
                <c:pt idx="606">
                  <c:v>236.87341047162496</c:v>
                </c:pt>
                <c:pt idx="607">
                  <c:v>236.87341047162496</c:v>
                </c:pt>
                <c:pt idx="608">
                  <c:v>236.87341047162496</c:v>
                </c:pt>
                <c:pt idx="609">
                  <c:v>236.87341047162496</c:v>
                </c:pt>
                <c:pt idx="610">
                  <c:v>221.37039545228757</c:v>
                </c:pt>
                <c:pt idx="611">
                  <c:v>221.37039545228757</c:v>
                </c:pt>
                <c:pt idx="612">
                  <c:v>221.37039545228757</c:v>
                </c:pt>
                <c:pt idx="613">
                  <c:v>221.37039545228757</c:v>
                </c:pt>
                <c:pt idx="614">
                  <c:v>221.37039545228757</c:v>
                </c:pt>
                <c:pt idx="615">
                  <c:v>221.37039545228757</c:v>
                </c:pt>
                <c:pt idx="616">
                  <c:v>221.37039545228757</c:v>
                </c:pt>
                <c:pt idx="617">
                  <c:v>221.37039545228757</c:v>
                </c:pt>
                <c:pt idx="618">
                  <c:v>221.37039545228757</c:v>
                </c:pt>
                <c:pt idx="619">
                  <c:v>221.37039545228757</c:v>
                </c:pt>
                <c:pt idx="620">
                  <c:v>221.37039545228757</c:v>
                </c:pt>
                <c:pt idx="621">
                  <c:v>221.37039545228757</c:v>
                </c:pt>
                <c:pt idx="622">
                  <c:v>221.37039545228757</c:v>
                </c:pt>
                <c:pt idx="623">
                  <c:v>221.37039545228757</c:v>
                </c:pt>
                <c:pt idx="624">
                  <c:v>221.37039545228757</c:v>
                </c:pt>
                <c:pt idx="625">
                  <c:v>221.37039545228757</c:v>
                </c:pt>
                <c:pt idx="626">
                  <c:v>221.37039545228757</c:v>
                </c:pt>
                <c:pt idx="627">
                  <c:v>221.37039545228757</c:v>
                </c:pt>
                <c:pt idx="628">
                  <c:v>221.37039545228757</c:v>
                </c:pt>
                <c:pt idx="629">
                  <c:v>221.37039545228757</c:v>
                </c:pt>
                <c:pt idx="630">
                  <c:v>221.37039545228757</c:v>
                </c:pt>
                <c:pt idx="631">
                  <c:v>221.37039545228757</c:v>
                </c:pt>
                <c:pt idx="632">
                  <c:v>221.37039545228757</c:v>
                </c:pt>
                <c:pt idx="633">
                  <c:v>221.37039545228757</c:v>
                </c:pt>
                <c:pt idx="634">
                  <c:v>221.37039545228757</c:v>
                </c:pt>
                <c:pt idx="635">
                  <c:v>221.37039545228757</c:v>
                </c:pt>
                <c:pt idx="636">
                  <c:v>221.37039545228757</c:v>
                </c:pt>
                <c:pt idx="637">
                  <c:v>221.37039545228757</c:v>
                </c:pt>
                <c:pt idx="638">
                  <c:v>238.10762487763043</c:v>
                </c:pt>
                <c:pt idx="639">
                  <c:v>238.10762487763043</c:v>
                </c:pt>
                <c:pt idx="640">
                  <c:v>238.10762487763043</c:v>
                </c:pt>
                <c:pt idx="641">
                  <c:v>238.10762487763043</c:v>
                </c:pt>
                <c:pt idx="642">
                  <c:v>238.10762487763043</c:v>
                </c:pt>
                <c:pt idx="643">
                  <c:v>238.10762487763043</c:v>
                </c:pt>
                <c:pt idx="644">
                  <c:v>238.10762487763043</c:v>
                </c:pt>
                <c:pt idx="645">
                  <c:v>238.10762487763043</c:v>
                </c:pt>
                <c:pt idx="646">
                  <c:v>238.10762487763043</c:v>
                </c:pt>
                <c:pt idx="647">
                  <c:v>238.10762487763043</c:v>
                </c:pt>
                <c:pt idx="648">
                  <c:v>238.10762487763043</c:v>
                </c:pt>
                <c:pt idx="649">
                  <c:v>238.10762487763043</c:v>
                </c:pt>
                <c:pt idx="650">
                  <c:v>238.10762487763043</c:v>
                </c:pt>
                <c:pt idx="651">
                  <c:v>238.10762487763043</c:v>
                </c:pt>
                <c:pt idx="652">
                  <c:v>238.10762487763043</c:v>
                </c:pt>
                <c:pt idx="653">
                  <c:v>238.10762487763043</c:v>
                </c:pt>
                <c:pt idx="654">
                  <c:v>238.10762487763043</c:v>
                </c:pt>
                <c:pt idx="655">
                  <c:v>238.10762487763043</c:v>
                </c:pt>
                <c:pt idx="656">
                  <c:v>238.10762487763043</c:v>
                </c:pt>
                <c:pt idx="657">
                  <c:v>238.10762487763043</c:v>
                </c:pt>
                <c:pt idx="658">
                  <c:v>238.10762487763043</c:v>
                </c:pt>
                <c:pt idx="659">
                  <c:v>238.10762487763043</c:v>
                </c:pt>
                <c:pt idx="660">
                  <c:v>238.10762487763043</c:v>
                </c:pt>
                <c:pt idx="661">
                  <c:v>238.10762487763043</c:v>
                </c:pt>
                <c:pt idx="662">
                  <c:v>238.10762487763043</c:v>
                </c:pt>
                <c:pt idx="663">
                  <c:v>238.10762487763043</c:v>
                </c:pt>
                <c:pt idx="664">
                  <c:v>238.10762487763043</c:v>
                </c:pt>
                <c:pt idx="665">
                  <c:v>238.10762487763043</c:v>
                </c:pt>
                <c:pt idx="666">
                  <c:v>238.10762487763043</c:v>
                </c:pt>
                <c:pt idx="667">
                  <c:v>238.10762487763043</c:v>
                </c:pt>
                <c:pt idx="668">
                  <c:v>238.10762487763043</c:v>
                </c:pt>
                <c:pt idx="669">
                  <c:v>185.36116679030002</c:v>
                </c:pt>
                <c:pt idx="670">
                  <c:v>185.36116679030002</c:v>
                </c:pt>
                <c:pt idx="671">
                  <c:v>185.36116679030002</c:v>
                </c:pt>
                <c:pt idx="672">
                  <c:v>185.36116679030002</c:v>
                </c:pt>
                <c:pt idx="673">
                  <c:v>185.36116679030002</c:v>
                </c:pt>
                <c:pt idx="674">
                  <c:v>185.36116679030002</c:v>
                </c:pt>
                <c:pt idx="675">
                  <c:v>185.36116679030002</c:v>
                </c:pt>
                <c:pt idx="676">
                  <c:v>185.36116679030002</c:v>
                </c:pt>
                <c:pt idx="677">
                  <c:v>185.36116679030002</c:v>
                </c:pt>
                <c:pt idx="678">
                  <c:v>185.36116679030002</c:v>
                </c:pt>
                <c:pt idx="679">
                  <c:v>185.36116679030002</c:v>
                </c:pt>
                <c:pt idx="680">
                  <c:v>185.36116679030002</c:v>
                </c:pt>
                <c:pt idx="681">
                  <c:v>185.36116679030002</c:v>
                </c:pt>
                <c:pt idx="682">
                  <c:v>185.36116679030002</c:v>
                </c:pt>
                <c:pt idx="683">
                  <c:v>185.36116679030002</c:v>
                </c:pt>
                <c:pt idx="684">
                  <c:v>185.36116679030002</c:v>
                </c:pt>
                <c:pt idx="685">
                  <c:v>185.36116679030002</c:v>
                </c:pt>
                <c:pt idx="686">
                  <c:v>185.36116679030002</c:v>
                </c:pt>
                <c:pt idx="687">
                  <c:v>185.36116679030002</c:v>
                </c:pt>
                <c:pt idx="688">
                  <c:v>185.36116679030002</c:v>
                </c:pt>
                <c:pt idx="689">
                  <c:v>185.36116679030002</c:v>
                </c:pt>
                <c:pt idx="690">
                  <c:v>185.36116679030002</c:v>
                </c:pt>
                <c:pt idx="691">
                  <c:v>185.36116679030002</c:v>
                </c:pt>
                <c:pt idx="692">
                  <c:v>185.36116679030002</c:v>
                </c:pt>
                <c:pt idx="693">
                  <c:v>185.36116679030002</c:v>
                </c:pt>
                <c:pt idx="694">
                  <c:v>185.36116679030002</c:v>
                </c:pt>
                <c:pt idx="695">
                  <c:v>185.36116679030002</c:v>
                </c:pt>
                <c:pt idx="696">
                  <c:v>185.36116679030002</c:v>
                </c:pt>
                <c:pt idx="697">
                  <c:v>185.36116679030002</c:v>
                </c:pt>
                <c:pt idx="698">
                  <c:v>185.36116679030002</c:v>
                </c:pt>
                <c:pt idx="699">
                  <c:v>164.42676239996658</c:v>
                </c:pt>
                <c:pt idx="700">
                  <c:v>164.42676239996658</c:v>
                </c:pt>
                <c:pt idx="701">
                  <c:v>164.42676239996658</c:v>
                </c:pt>
                <c:pt idx="702">
                  <c:v>164.42676239996658</c:v>
                </c:pt>
                <c:pt idx="703">
                  <c:v>164.42676239996658</c:v>
                </c:pt>
                <c:pt idx="704">
                  <c:v>164.42676239996658</c:v>
                </c:pt>
                <c:pt idx="705">
                  <c:v>164.42676239996658</c:v>
                </c:pt>
                <c:pt idx="706">
                  <c:v>164.42676239996658</c:v>
                </c:pt>
                <c:pt idx="707">
                  <c:v>164.42676239996658</c:v>
                </c:pt>
                <c:pt idx="708">
                  <c:v>164.42676239996658</c:v>
                </c:pt>
                <c:pt idx="709">
                  <c:v>164.42676239996658</c:v>
                </c:pt>
                <c:pt idx="710">
                  <c:v>164.42676239996658</c:v>
                </c:pt>
                <c:pt idx="711">
                  <c:v>164.42676239996658</c:v>
                </c:pt>
                <c:pt idx="712">
                  <c:v>164.42676239996658</c:v>
                </c:pt>
                <c:pt idx="713">
                  <c:v>164.42676239996658</c:v>
                </c:pt>
                <c:pt idx="714">
                  <c:v>164.42676239996658</c:v>
                </c:pt>
                <c:pt idx="715">
                  <c:v>164.42676239996658</c:v>
                </c:pt>
                <c:pt idx="716">
                  <c:v>164.42676239996658</c:v>
                </c:pt>
                <c:pt idx="717">
                  <c:v>164.42676239996658</c:v>
                </c:pt>
                <c:pt idx="718">
                  <c:v>164.42676239996658</c:v>
                </c:pt>
                <c:pt idx="719">
                  <c:v>164.42676239996658</c:v>
                </c:pt>
                <c:pt idx="720">
                  <c:v>164.42676239996658</c:v>
                </c:pt>
                <c:pt idx="721">
                  <c:v>164.42676239996658</c:v>
                </c:pt>
                <c:pt idx="722">
                  <c:v>164.42676239996658</c:v>
                </c:pt>
                <c:pt idx="723">
                  <c:v>164.42676239996658</c:v>
                </c:pt>
                <c:pt idx="724">
                  <c:v>164.42676239996658</c:v>
                </c:pt>
                <c:pt idx="725">
                  <c:v>164.42676239996658</c:v>
                </c:pt>
                <c:pt idx="726">
                  <c:v>164.42676239996658</c:v>
                </c:pt>
                <c:pt idx="727">
                  <c:v>164.42676239996658</c:v>
                </c:pt>
                <c:pt idx="728">
                  <c:v>164.42676239996658</c:v>
                </c:pt>
                <c:pt idx="729">
                  <c:v>164.42676239996658</c:v>
                </c:pt>
                <c:pt idx="730">
                  <c:v>135.8052732545944</c:v>
                </c:pt>
                <c:pt idx="731">
                  <c:v>135.8052732545944</c:v>
                </c:pt>
                <c:pt idx="732">
                  <c:v>135.8052732545944</c:v>
                </c:pt>
                <c:pt idx="733">
                  <c:v>135.8052732545944</c:v>
                </c:pt>
                <c:pt idx="734">
                  <c:v>135.8052732545944</c:v>
                </c:pt>
                <c:pt idx="735">
                  <c:v>135.8052732545944</c:v>
                </c:pt>
                <c:pt idx="736">
                  <c:v>135.8052732545944</c:v>
                </c:pt>
                <c:pt idx="737">
                  <c:v>135.8052732545944</c:v>
                </c:pt>
                <c:pt idx="738">
                  <c:v>135.8052732545944</c:v>
                </c:pt>
                <c:pt idx="739">
                  <c:v>135.8052732545944</c:v>
                </c:pt>
                <c:pt idx="740">
                  <c:v>135.8052732545944</c:v>
                </c:pt>
                <c:pt idx="741">
                  <c:v>135.8052732545944</c:v>
                </c:pt>
                <c:pt idx="742">
                  <c:v>135.8052732545944</c:v>
                </c:pt>
                <c:pt idx="743">
                  <c:v>135.8052732545944</c:v>
                </c:pt>
                <c:pt idx="744">
                  <c:v>135.8052732545944</c:v>
                </c:pt>
                <c:pt idx="745">
                  <c:v>135.8052732545944</c:v>
                </c:pt>
                <c:pt idx="746">
                  <c:v>135.8052732545944</c:v>
                </c:pt>
                <c:pt idx="747">
                  <c:v>135.8052732545944</c:v>
                </c:pt>
                <c:pt idx="748">
                  <c:v>135.8052732545944</c:v>
                </c:pt>
                <c:pt idx="749">
                  <c:v>135.8052732545944</c:v>
                </c:pt>
                <c:pt idx="750">
                  <c:v>135.8052732545944</c:v>
                </c:pt>
                <c:pt idx="751">
                  <c:v>135.8052732545944</c:v>
                </c:pt>
                <c:pt idx="752">
                  <c:v>135.8052732545944</c:v>
                </c:pt>
                <c:pt idx="753">
                  <c:v>135.8052732545944</c:v>
                </c:pt>
                <c:pt idx="754">
                  <c:v>135.8052732545944</c:v>
                </c:pt>
                <c:pt idx="755">
                  <c:v>135.8052732545944</c:v>
                </c:pt>
                <c:pt idx="756">
                  <c:v>135.8052732545944</c:v>
                </c:pt>
                <c:pt idx="757">
                  <c:v>135.8052732545944</c:v>
                </c:pt>
                <c:pt idx="758">
                  <c:v>135.8052732545944</c:v>
                </c:pt>
                <c:pt idx="759">
                  <c:v>135.8052732545944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4'!$E$2:$E$762</c:f>
              <c:numCache>
                <c:formatCode>#,##0</c:formatCode>
                <c:ptCount val="761"/>
                <c:pt idx="0">
                  <c:v>129.02325388424765</c:v>
                </c:pt>
                <c:pt idx="1">
                  <c:v>129.02325388424765</c:v>
                </c:pt>
                <c:pt idx="2">
                  <c:v>129.02325388424765</c:v>
                </c:pt>
                <c:pt idx="3">
                  <c:v>66.230172999999994</c:v>
                </c:pt>
                <c:pt idx="4">
                  <c:v>69.742851999999999</c:v>
                </c:pt>
                <c:pt idx="5">
                  <c:v>129.02325388424765</c:v>
                </c:pt>
                <c:pt idx="6">
                  <c:v>129.02325388424765</c:v>
                </c:pt>
                <c:pt idx="7">
                  <c:v>129.02325388424765</c:v>
                </c:pt>
                <c:pt idx="8">
                  <c:v>129.02325388424765</c:v>
                </c:pt>
                <c:pt idx="9">
                  <c:v>129.02325388424765</c:v>
                </c:pt>
                <c:pt idx="10">
                  <c:v>129.02325388424765</c:v>
                </c:pt>
                <c:pt idx="11">
                  <c:v>129.02325388424765</c:v>
                </c:pt>
                <c:pt idx="12">
                  <c:v>100.22699300000001</c:v>
                </c:pt>
                <c:pt idx="13">
                  <c:v>129.02325388424765</c:v>
                </c:pt>
                <c:pt idx="14">
                  <c:v>129.02325388424765</c:v>
                </c:pt>
                <c:pt idx="15">
                  <c:v>93.94324499999999</c:v>
                </c:pt>
                <c:pt idx="16">
                  <c:v>129.02325388424765</c:v>
                </c:pt>
                <c:pt idx="17">
                  <c:v>129.02325388424765</c:v>
                </c:pt>
                <c:pt idx="18">
                  <c:v>93.237751999999986</c:v>
                </c:pt>
                <c:pt idx="19">
                  <c:v>129.02325388424765</c:v>
                </c:pt>
                <c:pt idx="20">
                  <c:v>73.637070000000008</c:v>
                </c:pt>
                <c:pt idx="21">
                  <c:v>103.73947600000001</c:v>
                </c:pt>
                <c:pt idx="22">
                  <c:v>129.02325388424765</c:v>
                </c:pt>
                <c:pt idx="23">
                  <c:v>124.193652</c:v>
                </c:pt>
                <c:pt idx="24">
                  <c:v>93.912762000000001</c:v>
                </c:pt>
                <c:pt idx="25">
                  <c:v>118.845916</c:v>
                </c:pt>
                <c:pt idx="26">
                  <c:v>129.02325388424765</c:v>
                </c:pt>
                <c:pt idx="27">
                  <c:v>129.02325388424765</c:v>
                </c:pt>
                <c:pt idx="28">
                  <c:v>129.02325388424765</c:v>
                </c:pt>
                <c:pt idx="29">
                  <c:v>56.954242000000008</c:v>
                </c:pt>
                <c:pt idx="30">
                  <c:v>138.70177485350828</c:v>
                </c:pt>
                <c:pt idx="31">
                  <c:v>138.70177485350828</c:v>
                </c:pt>
                <c:pt idx="32">
                  <c:v>138.70177485350828</c:v>
                </c:pt>
                <c:pt idx="33">
                  <c:v>138.70177485350828</c:v>
                </c:pt>
                <c:pt idx="34">
                  <c:v>138.70177485350828</c:v>
                </c:pt>
                <c:pt idx="35">
                  <c:v>138.70177485350828</c:v>
                </c:pt>
                <c:pt idx="36">
                  <c:v>92.287915999999996</c:v>
                </c:pt>
                <c:pt idx="37">
                  <c:v>129.90347700000001</c:v>
                </c:pt>
                <c:pt idx="38">
                  <c:v>135.30928999999998</c:v>
                </c:pt>
                <c:pt idx="39">
                  <c:v>68.314876999999996</c:v>
                </c:pt>
                <c:pt idx="40">
                  <c:v>124.845597</c:v>
                </c:pt>
                <c:pt idx="41">
                  <c:v>138.70177485350828</c:v>
                </c:pt>
                <c:pt idx="42">
                  <c:v>132.69847000000001</c:v>
                </c:pt>
                <c:pt idx="43">
                  <c:v>101.11832100000001</c:v>
                </c:pt>
                <c:pt idx="44">
                  <c:v>138.70177485350828</c:v>
                </c:pt>
                <c:pt idx="45">
                  <c:v>98.862234999999998</c:v>
                </c:pt>
                <c:pt idx="46">
                  <c:v>104.94921000000001</c:v>
                </c:pt>
                <c:pt idx="47">
                  <c:v>72.424884999999989</c:v>
                </c:pt>
                <c:pt idx="48">
                  <c:v>59.236810000000006</c:v>
                </c:pt>
                <c:pt idx="49">
                  <c:v>138.70177485350828</c:v>
                </c:pt>
                <c:pt idx="50">
                  <c:v>138.70177485350828</c:v>
                </c:pt>
                <c:pt idx="51">
                  <c:v>138.70177485350828</c:v>
                </c:pt>
                <c:pt idx="52">
                  <c:v>127.680735</c:v>
                </c:pt>
                <c:pt idx="53">
                  <c:v>131.10322099999999</c:v>
                </c:pt>
                <c:pt idx="54">
                  <c:v>138.70177485350828</c:v>
                </c:pt>
                <c:pt idx="55">
                  <c:v>104.143731</c:v>
                </c:pt>
                <c:pt idx="56">
                  <c:v>108.45381</c:v>
                </c:pt>
                <c:pt idx="57">
                  <c:v>138.70177485350828</c:v>
                </c:pt>
                <c:pt idx="58">
                  <c:v>127.01384200000001</c:v>
                </c:pt>
                <c:pt idx="59">
                  <c:v>138.70177485350828</c:v>
                </c:pt>
                <c:pt idx="60">
                  <c:v>75.948722000000004</c:v>
                </c:pt>
                <c:pt idx="61">
                  <c:v>110.714079</c:v>
                </c:pt>
                <c:pt idx="62">
                  <c:v>133.11991266435626</c:v>
                </c:pt>
                <c:pt idx="63">
                  <c:v>129.686756</c:v>
                </c:pt>
                <c:pt idx="64">
                  <c:v>87.72823600000001</c:v>
                </c:pt>
                <c:pt idx="65">
                  <c:v>71.729529999999997</c:v>
                </c:pt>
                <c:pt idx="66">
                  <c:v>102.846844</c:v>
                </c:pt>
                <c:pt idx="67">
                  <c:v>133.11991266435626</c:v>
                </c:pt>
                <c:pt idx="68">
                  <c:v>117.85944200000002</c:v>
                </c:pt>
                <c:pt idx="69">
                  <c:v>104.752955</c:v>
                </c:pt>
                <c:pt idx="70">
                  <c:v>131.54880799999998</c:v>
                </c:pt>
                <c:pt idx="71">
                  <c:v>133.11991266435626</c:v>
                </c:pt>
                <c:pt idx="72">
                  <c:v>91.825952999999998</c:v>
                </c:pt>
                <c:pt idx="73">
                  <c:v>103.752116</c:v>
                </c:pt>
                <c:pt idx="74">
                  <c:v>133.11991266435626</c:v>
                </c:pt>
                <c:pt idx="75">
                  <c:v>133.11991266435626</c:v>
                </c:pt>
                <c:pt idx="76">
                  <c:v>112.051107</c:v>
                </c:pt>
                <c:pt idx="77">
                  <c:v>106.82991200000001</c:v>
                </c:pt>
                <c:pt idx="78">
                  <c:v>133.11991266435626</c:v>
                </c:pt>
                <c:pt idx="79">
                  <c:v>133.11991266435626</c:v>
                </c:pt>
                <c:pt idx="80">
                  <c:v>124.72519100000001</c:v>
                </c:pt>
                <c:pt idx="81">
                  <c:v>133.11991266435626</c:v>
                </c:pt>
                <c:pt idx="82">
                  <c:v>55.629601000000001</c:v>
                </c:pt>
                <c:pt idx="83">
                  <c:v>76.594407000000004</c:v>
                </c:pt>
                <c:pt idx="84">
                  <c:v>133.11991266435626</c:v>
                </c:pt>
                <c:pt idx="85">
                  <c:v>133.11991266435626</c:v>
                </c:pt>
                <c:pt idx="86">
                  <c:v>124.623966</c:v>
                </c:pt>
                <c:pt idx="87">
                  <c:v>50.358134</c:v>
                </c:pt>
                <c:pt idx="88">
                  <c:v>100.16805599999999</c:v>
                </c:pt>
                <c:pt idx="89">
                  <c:v>133.11991266435626</c:v>
                </c:pt>
                <c:pt idx="90">
                  <c:v>133.11991266435626</c:v>
                </c:pt>
                <c:pt idx="91">
                  <c:v>117.602396</c:v>
                </c:pt>
                <c:pt idx="92">
                  <c:v>38.287339000000003</c:v>
                </c:pt>
                <c:pt idx="93">
                  <c:v>84.727943999999994</c:v>
                </c:pt>
                <c:pt idx="94">
                  <c:v>125.78858308260811</c:v>
                </c:pt>
                <c:pt idx="95">
                  <c:v>125.78858308260811</c:v>
                </c:pt>
                <c:pt idx="96">
                  <c:v>110.478555</c:v>
                </c:pt>
                <c:pt idx="97">
                  <c:v>125.78858308260811</c:v>
                </c:pt>
                <c:pt idx="98">
                  <c:v>85.718754999999987</c:v>
                </c:pt>
                <c:pt idx="99">
                  <c:v>96.344214999999991</c:v>
                </c:pt>
                <c:pt idx="100">
                  <c:v>125.78858308260811</c:v>
                </c:pt>
                <c:pt idx="101">
                  <c:v>125.78858308260811</c:v>
                </c:pt>
                <c:pt idx="102">
                  <c:v>125.78858308260811</c:v>
                </c:pt>
                <c:pt idx="103">
                  <c:v>125.78858308260811</c:v>
                </c:pt>
                <c:pt idx="104">
                  <c:v>125.78858308260811</c:v>
                </c:pt>
                <c:pt idx="105">
                  <c:v>125.78858308260811</c:v>
                </c:pt>
                <c:pt idx="106">
                  <c:v>125.78858308260811</c:v>
                </c:pt>
                <c:pt idx="107">
                  <c:v>125.78858308260811</c:v>
                </c:pt>
                <c:pt idx="108">
                  <c:v>125.78858308260811</c:v>
                </c:pt>
                <c:pt idx="109">
                  <c:v>125.78858308260811</c:v>
                </c:pt>
                <c:pt idx="110">
                  <c:v>98.345635999999999</c:v>
                </c:pt>
                <c:pt idx="111">
                  <c:v>83.848354999999998</c:v>
                </c:pt>
                <c:pt idx="112">
                  <c:v>102.84054699999999</c:v>
                </c:pt>
                <c:pt idx="113">
                  <c:v>48.319129000000004</c:v>
                </c:pt>
                <c:pt idx="114">
                  <c:v>82.914781999999988</c:v>
                </c:pt>
                <c:pt idx="115">
                  <c:v>116.58649399999999</c:v>
                </c:pt>
                <c:pt idx="116">
                  <c:v>125.78858308260811</c:v>
                </c:pt>
                <c:pt idx="117">
                  <c:v>125.78858308260811</c:v>
                </c:pt>
                <c:pt idx="118">
                  <c:v>125.78858308260811</c:v>
                </c:pt>
                <c:pt idx="119">
                  <c:v>123.24835899999999</c:v>
                </c:pt>
                <c:pt idx="120">
                  <c:v>125.78858308260811</c:v>
                </c:pt>
                <c:pt idx="121">
                  <c:v>71.803145000000001</c:v>
                </c:pt>
                <c:pt idx="122">
                  <c:v>129.46452100000002</c:v>
                </c:pt>
                <c:pt idx="123">
                  <c:v>158.80210789564634</c:v>
                </c:pt>
                <c:pt idx="124">
                  <c:v>158.80210789564634</c:v>
                </c:pt>
                <c:pt idx="125">
                  <c:v>130.383307</c:v>
                </c:pt>
                <c:pt idx="126">
                  <c:v>146.60773999999998</c:v>
                </c:pt>
                <c:pt idx="127">
                  <c:v>158.80210789564634</c:v>
                </c:pt>
                <c:pt idx="128">
                  <c:v>158.80210789564634</c:v>
                </c:pt>
                <c:pt idx="129">
                  <c:v>158.80210789564634</c:v>
                </c:pt>
                <c:pt idx="130">
                  <c:v>158.80210789564634</c:v>
                </c:pt>
                <c:pt idx="131">
                  <c:v>157.38539699999998</c:v>
                </c:pt>
                <c:pt idx="132">
                  <c:v>128.78697199999999</c:v>
                </c:pt>
                <c:pt idx="133">
                  <c:v>158.80210789564634</c:v>
                </c:pt>
                <c:pt idx="134">
                  <c:v>72.950097</c:v>
                </c:pt>
                <c:pt idx="135">
                  <c:v>81.066305</c:v>
                </c:pt>
                <c:pt idx="136">
                  <c:v>158.80210789564634</c:v>
                </c:pt>
                <c:pt idx="137">
                  <c:v>158.80210789564634</c:v>
                </c:pt>
                <c:pt idx="138">
                  <c:v>158.80210789564634</c:v>
                </c:pt>
                <c:pt idx="139">
                  <c:v>158.80210789564634</c:v>
                </c:pt>
                <c:pt idx="140">
                  <c:v>158.80210789564634</c:v>
                </c:pt>
                <c:pt idx="141">
                  <c:v>117.052217</c:v>
                </c:pt>
                <c:pt idx="142">
                  <c:v>83.544494</c:v>
                </c:pt>
                <c:pt idx="143">
                  <c:v>158.80210789564634</c:v>
                </c:pt>
                <c:pt idx="144">
                  <c:v>120.46044999999999</c:v>
                </c:pt>
                <c:pt idx="145">
                  <c:v>158.80210789564634</c:v>
                </c:pt>
                <c:pt idx="146">
                  <c:v>151.21921499999999</c:v>
                </c:pt>
                <c:pt idx="147">
                  <c:v>141.51971399999999</c:v>
                </c:pt>
                <c:pt idx="148">
                  <c:v>95.29134599999999</c:v>
                </c:pt>
                <c:pt idx="149">
                  <c:v>158.80210789564634</c:v>
                </c:pt>
                <c:pt idx="150">
                  <c:v>158.80210789564634</c:v>
                </c:pt>
                <c:pt idx="151">
                  <c:v>158.80210789564634</c:v>
                </c:pt>
                <c:pt idx="152">
                  <c:v>126.290593</c:v>
                </c:pt>
                <c:pt idx="153">
                  <c:v>76.932117000000019</c:v>
                </c:pt>
                <c:pt idx="154">
                  <c:v>55.113553000000003</c:v>
                </c:pt>
                <c:pt idx="155">
                  <c:v>125.16685799999999</c:v>
                </c:pt>
                <c:pt idx="156">
                  <c:v>112.63445299999999</c:v>
                </c:pt>
                <c:pt idx="157">
                  <c:v>36.589557999999997</c:v>
                </c:pt>
                <c:pt idx="158">
                  <c:v>51.480131</c:v>
                </c:pt>
                <c:pt idx="159">
                  <c:v>81.292059999999992</c:v>
                </c:pt>
                <c:pt idx="160">
                  <c:v>89.654990999999995</c:v>
                </c:pt>
                <c:pt idx="161">
                  <c:v>133.47285499999998</c:v>
                </c:pt>
                <c:pt idx="162">
                  <c:v>163.896174</c:v>
                </c:pt>
                <c:pt idx="163">
                  <c:v>206.85103522911453</c:v>
                </c:pt>
                <c:pt idx="164">
                  <c:v>206.85103522911453</c:v>
                </c:pt>
                <c:pt idx="165">
                  <c:v>206.85103522911453</c:v>
                </c:pt>
                <c:pt idx="166">
                  <c:v>187.31915499999999</c:v>
                </c:pt>
                <c:pt idx="167">
                  <c:v>139.87597199999999</c:v>
                </c:pt>
                <c:pt idx="168">
                  <c:v>109.865499</c:v>
                </c:pt>
                <c:pt idx="169">
                  <c:v>56.964173000000002</c:v>
                </c:pt>
                <c:pt idx="170">
                  <c:v>39.679396000000004</c:v>
                </c:pt>
                <c:pt idx="171">
                  <c:v>144.50193400000001</c:v>
                </c:pt>
                <c:pt idx="172">
                  <c:v>206.85103522911453</c:v>
                </c:pt>
                <c:pt idx="173">
                  <c:v>206.85103522911453</c:v>
                </c:pt>
                <c:pt idx="174">
                  <c:v>206.85103522911453</c:v>
                </c:pt>
                <c:pt idx="175">
                  <c:v>206.85103522911453</c:v>
                </c:pt>
                <c:pt idx="176">
                  <c:v>206.85103522911453</c:v>
                </c:pt>
                <c:pt idx="177">
                  <c:v>206.85103522911453</c:v>
                </c:pt>
                <c:pt idx="178">
                  <c:v>99.096762999999996</c:v>
                </c:pt>
                <c:pt idx="179">
                  <c:v>77.794535999999994</c:v>
                </c:pt>
                <c:pt idx="180">
                  <c:v>91.146317999999994</c:v>
                </c:pt>
                <c:pt idx="181">
                  <c:v>145.76431500000001</c:v>
                </c:pt>
                <c:pt idx="182">
                  <c:v>103.255352</c:v>
                </c:pt>
                <c:pt idx="183">
                  <c:v>85.145202999999995</c:v>
                </c:pt>
                <c:pt idx="184">
                  <c:v>70.583862999999994</c:v>
                </c:pt>
                <c:pt idx="185">
                  <c:v>129.19969500000002</c:v>
                </c:pt>
                <c:pt idx="186">
                  <c:v>197.49747085027684</c:v>
                </c:pt>
                <c:pt idx="187">
                  <c:v>192.32162099999999</c:v>
                </c:pt>
                <c:pt idx="188">
                  <c:v>197.49747085027684</c:v>
                </c:pt>
                <c:pt idx="189">
                  <c:v>197.49747085027684</c:v>
                </c:pt>
                <c:pt idx="190">
                  <c:v>197.49747085027684</c:v>
                </c:pt>
                <c:pt idx="191">
                  <c:v>197.49747085027684</c:v>
                </c:pt>
                <c:pt idx="192">
                  <c:v>169.30434199999999</c:v>
                </c:pt>
                <c:pt idx="193">
                  <c:v>44.365141000000001</c:v>
                </c:pt>
                <c:pt idx="194">
                  <c:v>63.363847</c:v>
                </c:pt>
                <c:pt idx="195">
                  <c:v>29.603017000000001</c:v>
                </c:pt>
                <c:pt idx="196">
                  <c:v>108.996498</c:v>
                </c:pt>
                <c:pt idx="197">
                  <c:v>197.49747085027684</c:v>
                </c:pt>
                <c:pt idx="198">
                  <c:v>150.33350499999997</c:v>
                </c:pt>
                <c:pt idx="199">
                  <c:v>159.37333000000001</c:v>
                </c:pt>
                <c:pt idx="200">
                  <c:v>197.49747085027684</c:v>
                </c:pt>
                <c:pt idx="201">
                  <c:v>197.49747085027684</c:v>
                </c:pt>
                <c:pt idx="202">
                  <c:v>197.49747085027684</c:v>
                </c:pt>
                <c:pt idx="203">
                  <c:v>172.26707399999998</c:v>
                </c:pt>
                <c:pt idx="204">
                  <c:v>197.49747085027684</c:v>
                </c:pt>
                <c:pt idx="205">
                  <c:v>197.49747085027684</c:v>
                </c:pt>
                <c:pt idx="206">
                  <c:v>197.49747085027684</c:v>
                </c:pt>
                <c:pt idx="207">
                  <c:v>109.234211</c:v>
                </c:pt>
                <c:pt idx="208">
                  <c:v>57.149535999999998</c:v>
                </c:pt>
                <c:pt idx="209">
                  <c:v>94.643889999999999</c:v>
                </c:pt>
                <c:pt idx="210">
                  <c:v>52.416581000000001</c:v>
                </c:pt>
                <c:pt idx="211">
                  <c:v>29.812986000000002</c:v>
                </c:pt>
                <c:pt idx="212">
                  <c:v>32.461750000000002</c:v>
                </c:pt>
                <c:pt idx="213">
                  <c:v>28.700936000000002</c:v>
                </c:pt>
                <c:pt idx="214">
                  <c:v>96.073809999999995</c:v>
                </c:pt>
                <c:pt idx="215">
                  <c:v>163.738305</c:v>
                </c:pt>
                <c:pt idx="216">
                  <c:v>226.40470537113495</c:v>
                </c:pt>
                <c:pt idx="217">
                  <c:v>226.40470537113495</c:v>
                </c:pt>
                <c:pt idx="218">
                  <c:v>226.40470537113495</c:v>
                </c:pt>
                <c:pt idx="219">
                  <c:v>226.40470537113495</c:v>
                </c:pt>
                <c:pt idx="220">
                  <c:v>226.40470537113495</c:v>
                </c:pt>
                <c:pt idx="221">
                  <c:v>226.40470537113495</c:v>
                </c:pt>
                <c:pt idx="222">
                  <c:v>226.40470537113495</c:v>
                </c:pt>
                <c:pt idx="223">
                  <c:v>226.40470537113495</c:v>
                </c:pt>
                <c:pt idx="224">
                  <c:v>226.40470537113495</c:v>
                </c:pt>
                <c:pt idx="225">
                  <c:v>226.40470537113495</c:v>
                </c:pt>
                <c:pt idx="226">
                  <c:v>220.21362999999997</c:v>
                </c:pt>
                <c:pt idx="227">
                  <c:v>113.02481399999999</c:v>
                </c:pt>
                <c:pt idx="228">
                  <c:v>165.49422799999999</c:v>
                </c:pt>
                <c:pt idx="229">
                  <c:v>196.177661</c:v>
                </c:pt>
                <c:pt idx="230">
                  <c:v>111.668159</c:v>
                </c:pt>
                <c:pt idx="231">
                  <c:v>47.329568000000002</c:v>
                </c:pt>
                <c:pt idx="232">
                  <c:v>97.645392999999999</c:v>
                </c:pt>
                <c:pt idx="233">
                  <c:v>112.335267</c:v>
                </c:pt>
                <c:pt idx="234">
                  <c:v>198.97339000000002</c:v>
                </c:pt>
                <c:pt idx="235">
                  <c:v>226.40470537113495</c:v>
                </c:pt>
                <c:pt idx="236">
                  <c:v>152.22953200000001</c:v>
                </c:pt>
                <c:pt idx="237">
                  <c:v>226.40470537113495</c:v>
                </c:pt>
                <c:pt idx="238">
                  <c:v>226.40470537113495</c:v>
                </c:pt>
                <c:pt idx="239">
                  <c:v>226.40470537113495</c:v>
                </c:pt>
                <c:pt idx="240">
                  <c:v>226.40470537113495</c:v>
                </c:pt>
                <c:pt idx="241">
                  <c:v>226.40470537113495</c:v>
                </c:pt>
                <c:pt idx="242">
                  <c:v>226.40470537113495</c:v>
                </c:pt>
                <c:pt idx="243">
                  <c:v>226.40470537113495</c:v>
                </c:pt>
                <c:pt idx="244">
                  <c:v>202.28360000000001</c:v>
                </c:pt>
                <c:pt idx="245">
                  <c:v>164.034176</c:v>
                </c:pt>
                <c:pt idx="246">
                  <c:v>104.071662</c:v>
                </c:pt>
                <c:pt idx="247">
                  <c:v>98.976224000000002</c:v>
                </c:pt>
                <c:pt idx="248">
                  <c:v>54.098143</c:v>
                </c:pt>
                <c:pt idx="249">
                  <c:v>118.19268799999999</c:v>
                </c:pt>
                <c:pt idx="250">
                  <c:v>46.433995000000003</c:v>
                </c:pt>
                <c:pt idx="251">
                  <c:v>200.898404</c:v>
                </c:pt>
                <c:pt idx="252">
                  <c:v>164.69902599999998</c:v>
                </c:pt>
                <c:pt idx="253">
                  <c:v>105.061021</c:v>
                </c:pt>
                <c:pt idx="254">
                  <c:v>91.126620000000017</c:v>
                </c:pt>
                <c:pt idx="255">
                  <c:v>153.79465200000001</c:v>
                </c:pt>
                <c:pt idx="256">
                  <c:v>195.92666699999998</c:v>
                </c:pt>
                <c:pt idx="257">
                  <c:v>153.23369399999999</c:v>
                </c:pt>
                <c:pt idx="258">
                  <c:v>105.41158900000001</c:v>
                </c:pt>
                <c:pt idx="259">
                  <c:v>113.02801600000001</c:v>
                </c:pt>
                <c:pt idx="260">
                  <c:v>58.857105000000004</c:v>
                </c:pt>
                <c:pt idx="261">
                  <c:v>54.882724000000003</c:v>
                </c:pt>
                <c:pt idx="262">
                  <c:v>178.157702</c:v>
                </c:pt>
                <c:pt idx="263">
                  <c:v>67.117097999999999</c:v>
                </c:pt>
                <c:pt idx="264">
                  <c:v>109.534372</c:v>
                </c:pt>
                <c:pt idx="265">
                  <c:v>230.08779404005472</c:v>
                </c:pt>
                <c:pt idx="266">
                  <c:v>130.755921</c:v>
                </c:pt>
                <c:pt idx="267">
                  <c:v>109.82341000000001</c:v>
                </c:pt>
                <c:pt idx="268">
                  <c:v>189.69959800000001</c:v>
                </c:pt>
                <c:pt idx="269">
                  <c:v>230.08779404005472</c:v>
                </c:pt>
                <c:pt idx="270">
                  <c:v>114.33936200000001</c:v>
                </c:pt>
                <c:pt idx="271">
                  <c:v>32.310867000000002</c:v>
                </c:pt>
                <c:pt idx="272">
                  <c:v>167.25509499999998</c:v>
                </c:pt>
                <c:pt idx="273">
                  <c:v>230.25404321401714</c:v>
                </c:pt>
                <c:pt idx="274">
                  <c:v>230.25404321401714</c:v>
                </c:pt>
                <c:pt idx="275">
                  <c:v>230.25404321401714</c:v>
                </c:pt>
                <c:pt idx="276">
                  <c:v>230.25404321401714</c:v>
                </c:pt>
                <c:pt idx="277">
                  <c:v>230.25404321401714</c:v>
                </c:pt>
                <c:pt idx="278">
                  <c:v>230.25404321401714</c:v>
                </c:pt>
                <c:pt idx="279">
                  <c:v>230.25404321401714</c:v>
                </c:pt>
                <c:pt idx="280">
                  <c:v>230.25404321401714</c:v>
                </c:pt>
                <c:pt idx="281">
                  <c:v>173.17262500000001</c:v>
                </c:pt>
                <c:pt idx="282">
                  <c:v>136.88351800000001</c:v>
                </c:pt>
                <c:pt idx="283">
                  <c:v>181.39284099999998</c:v>
                </c:pt>
                <c:pt idx="284">
                  <c:v>198.59299299999998</c:v>
                </c:pt>
                <c:pt idx="285">
                  <c:v>180.97653099999999</c:v>
                </c:pt>
                <c:pt idx="286">
                  <c:v>213.04121499999999</c:v>
                </c:pt>
                <c:pt idx="287">
                  <c:v>142.68793599999998</c:v>
                </c:pt>
                <c:pt idx="288">
                  <c:v>95.977497</c:v>
                </c:pt>
                <c:pt idx="289">
                  <c:v>141.29913500000001</c:v>
                </c:pt>
                <c:pt idx="290">
                  <c:v>230.25404321401714</c:v>
                </c:pt>
                <c:pt idx="291">
                  <c:v>230.25404321401714</c:v>
                </c:pt>
                <c:pt idx="292">
                  <c:v>230.25404321401714</c:v>
                </c:pt>
                <c:pt idx="293">
                  <c:v>230.25404321401714</c:v>
                </c:pt>
                <c:pt idx="294">
                  <c:v>230.25404321401714</c:v>
                </c:pt>
                <c:pt idx="295">
                  <c:v>164.86473800000002</c:v>
                </c:pt>
                <c:pt idx="296">
                  <c:v>161.83111400000001</c:v>
                </c:pt>
                <c:pt idx="297">
                  <c:v>168.429867</c:v>
                </c:pt>
                <c:pt idx="298">
                  <c:v>172.45532</c:v>
                </c:pt>
                <c:pt idx="299">
                  <c:v>159.590024</c:v>
                </c:pt>
                <c:pt idx="300">
                  <c:v>187.49961100000002</c:v>
                </c:pt>
                <c:pt idx="301">
                  <c:v>230.25404321401714</c:v>
                </c:pt>
                <c:pt idx="302">
                  <c:v>170.940212</c:v>
                </c:pt>
                <c:pt idx="303">
                  <c:v>113.46322000000001</c:v>
                </c:pt>
                <c:pt idx="304">
                  <c:v>55.310994000000001</c:v>
                </c:pt>
                <c:pt idx="305">
                  <c:v>159.42946800000001</c:v>
                </c:pt>
                <c:pt idx="306">
                  <c:v>182.8946310465183</c:v>
                </c:pt>
                <c:pt idx="307">
                  <c:v>182.8946310465183</c:v>
                </c:pt>
                <c:pt idx="308">
                  <c:v>142.38233300000002</c:v>
                </c:pt>
                <c:pt idx="309">
                  <c:v>92.033123000000003</c:v>
                </c:pt>
                <c:pt idx="310">
                  <c:v>65.263696999999993</c:v>
                </c:pt>
                <c:pt idx="311">
                  <c:v>67.720842000000005</c:v>
                </c:pt>
                <c:pt idx="312">
                  <c:v>90.567506000000009</c:v>
                </c:pt>
                <c:pt idx="313">
                  <c:v>182.138599</c:v>
                </c:pt>
                <c:pt idx="314">
                  <c:v>182.8946310465183</c:v>
                </c:pt>
                <c:pt idx="315">
                  <c:v>92.423380999999992</c:v>
                </c:pt>
                <c:pt idx="316">
                  <c:v>46.441901999999999</c:v>
                </c:pt>
                <c:pt idx="317">
                  <c:v>168.73453000000001</c:v>
                </c:pt>
                <c:pt idx="318">
                  <c:v>182.8946310465183</c:v>
                </c:pt>
                <c:pt idx="319">
                  <c:v>182.8946310465183</c:v>
                </c:pt>
                <c:pt idx="320">
                  <c:v>182.8946310465183</c:v>
                </c:pt>
                <c:pt idx="321">
                  <c:v>178.67427699999999</c:v>
                </c:pt>
                <c:pt idx="322">
                  <c:v>182.8946310465183</c:v>
                </c:pt>
                <c:pt idx="323">
                  <c:v>131.45716000000002</c:v>
                </c:pt>
                <c:pt idx="324">
                  <c:v>72.177299000000005</c:v>
                </c:pt>
                <c:pt idx="325">
                  <c:v>102.49695699999999</c:v>
                </c:pt>
                <c:pt idx="326">
                  <c:v>110.06331200000001</c:v>
                </c:pt>
                <c:pt idx="327">
                  <c:v>114.529554</c:v>
                </c:pt>
                <c:pt idx="328">
                  <c:v>77.589011999999983</c:v>
                </c:pt>
                <c:pt idx="329">
                  <c:v>182.8946310465183</c:v>
                </c:pt>
                <c:pt idx="330">
                  <c:v>131.14623699999999</c:v>
                </c:pt>
                <c:pt idx="331">
                  <c:v>58.302416000000008</c:v>
                </c:pt>
                <c:pt idx="332">
                  <c:v>89.671123999999992</c:v>
                </c:pt>
                <c:pt idx="333">
                  <c:v>182.8946310465183</c:v>
                </c:pt>
                <c:pt idx="334">
                  <c:v>130.73729700000001</c:v>
                </c:pt>
                <c:pt idx="335">
                  <c:v>169.33205925204089</c:v>
                </c:pt>
                <c:pt idx="336">
                  <c:v>89.421211999999997</c:v>
                </c:pt>
                <c:pt idx="337">
                  <c:v>112.899416</c:v>
                </c:pt>
                <c:pt idx="338">
                  <c:v>169.33205925204089</c:v>
                </c:pt>
                <c:pt idx="339">
                  <c:v>169.33205925204089</c:v>
                </c:pt>
                <c:pt idx="340">
                  <c:v>103.20984899999999</c:v>
                </c:pt>
                <c:pt idx="341">
                  <c:v>73.222005999999993</c:v>
                </c:pt>
                <c:pt idx="342">
                  <c:v>65.937542000000008</c:v>
                </c:pt>
                <c:pt idx="343">
                  <c:v>101.71455800000001</c:v>
                </c:pt>
                <c:pt idx="344">
                  <c:v>84.707972999999996</c:v>
                </c:pt>
                <c:pt idx="345">
                  <c:v>77.854702000000003</c:v>
                </c:pt>
                <c:pt idx="346">
                  <c:v>45.845879000000004</c:v>
                </c:pt>
                <c:pt idx="347">
                  <c:v>50.527019000000003</c:v>
                </c:pt>
                <c:pt idx="348">
                  <c:v>132.655484</c:v>
                </c:pt>
                <c:pt idx="349">
                  <c:v>157.66755800000001</c:v>
                </c:pt>
                <c:pt idx="350">
                  <c:v>60.002699</c:v>
                </c:pt>
                <c:pt idx="351">
                  <c:v>88.425532000000004</c:v>
                </c:pt>
                <c:pt idx="352">
                  <c:v>139.35441100000003</c:v>
                </c:pt>
                <c:pt idx="353">
                  <c:v>137.66535000000002</c:v>
                </c:pt>
                <c:pt idx="354">
                  <c:v>101.228334</c:v>
                </c:pt>
                <c:pt idx="355">
                  <c:v>169.33205925204089</c:v>
                </c:pt>
                <c:pt idx="356">
                  <c:v>169.33205925204089</c:v>
                </c:pt>
                <c:pt idx="357">
                  <c:v>108.31279999999998</c:v>
                </c:pt>
                <c:pt idx="358">
                  <c:v>60.122805</c:v>
                </c:pt>
                <c:pt idx="359">
                  <c:v>108.48711899999999</c:v>
                </c:pt>
                <c:pt idx="360">
                  <c:v>89.988647999999998</c:v>
                </c:pt>
                <c:pt idx="361">
                  <c:v>73.764529999999993</c:v>
                </c:pt>
                <c:pt idx="362">
                  <c:v>73.826587000000004</c:v>
                </c:pt>
                <c:pt idx="363">
                  <c:v>80.925066000000001</c:v>
                </c:pt>
                <c:pt idx="364">
                  <c:v>69.140265999999997</c:v>
                </c:pt>
                <c:pt idx="365">
                  <c:v>111.435053</c:v>
                </c:pt>
                <c:pt idx="366">
                  <c:v>134.23954108515446</c:v>
                </c:pt>
                <c:pt idx="367">
                  <c:v>105.688453</c:v>
                </c:pt>
                <c:pt idx="368">
                  <c:v>90.691767999999996</c:v>
                </c:pt>
                <c:pt idx="369">
                  <c:v>92.065466000000001</c:v>
                </c:pt>
                <c:pt idx="370">
                  <c:v>73.003224000000003</c:v>
                </c:pt>
                <c:pt idx="371">
                  <c:v>73.094994999999997</c:v>
                </c:pt>
                <c:pt idx="372">
                  <c:v>90.551684000000009</c:v>
                </c:pt>
                <c:pt idx="373">
                  <c:v>98.799042</c:v>
                </c:pt>
                <c:pt idx="374">
                  <c:v>105.73545900000001</c:v>
                </c:pt>
                <c:pt idx="375">
                  <c:v>134.23954108515446</c:v>
                </c:pt>
                <c:pt idx="376">
                  <c:v>91.165997000000004</c:v>
                </c:pt>
                <c:pt idx="377">
                  <c:v>100.57450900000001</c:v>
                </c:pt>
                <c:pt idx="378">
                  <c:v>74.378728999999993</c:v>
                </c:pt>
                <c:pt idx="379">
                  <c:v>134.23954108515446</c:v>
                </c:pt>
                <c:pt idx="380">
                  <c:v>134.23954108515446</c:v>
                </c:pt>
                <c:pt idx="381">
                  <c:v>95.715376999999989</c:v>
                </c:pt>
                <c:pt idx="382">
                  <c:v>67.396819000000008</c:v>
                </c:pt>
                <c:pt idx="383">
                  <c:v>90.354638000000008</c:v>
                </c:pt>
                <c:pt idx="384">
                  <c:v>79.801942999999994</c:v>
                </c:pt>
                <c:pt idx="385">
                  <c:v>81.718552000000017</c:v>
                </c:pt>
                <c:pt idx="386">
                  <c:v>94.015771999999998</c:v>
                </c:pt>
                <c:pt idx="387">
                  <c:v>114.845062</c:v>
                </c:pt>
                <c:pt idx="388">
                  <c:v>134.23954108515446</c:v>
                </c:pt>
                <c:pt idx="389">
                  <c:v>133.50499400000001</c:v>
                </c:pt>
                <c:pt idx="390">
                  <c:v>106.92297600000001</c:v>
                </c:pt>
                <c:pt idx="391">
                  <c:v>74.418779999999998</c:v>
                </c:pt>
                <c:pt idx="392">
                  <c:v>82.586341000000004</c:v>
                </c:pt>
                <c:pt idx="393">
                  <c:v>83.282995999999997</c:v>
                </c:pt>
                <c:pt idx="394">
                  <c:v>88.473113000000012</c:v>
                </c:pt>
                <c:pt idx="395">
                  <c:v>84.523108000000008</c:v>
                </c:pt>
                <c:pt idx="396">
                  <c:v>142.13676927747508</c:v>
                </c:pt>
                <c:pt idx="397">
                  <c:v>142.13676927747508</c:v>
                </c:pt>
                <c:pt idx="398">
                  <c:v>142.13676927747508</c:v>
                </c:pt>
                <c:pt idx="399">
                  <c:v>142.13676927747508</c:v>
                </c:pt>
                <c:pt idx="400">
                  <c:v>115.79121299999998</c:v>
                </c:pt>
                <c:pt idx="401">
                  <c:v>142.13676927747508</c:v>
                </c:pt>
                <c:pt idx="402">
                  <c:v>142.13676927747508</c:v>
                </c:pt>
                <c:pt idx="403">
                  <c:v>118.35066999999999</c:v>
                </c:pt>
                <c:pt idx="404">
                  <c:v>60.871835999999995</c:v>
                </c:pt>
                <c:pt idx="405">
                  <c:v>100.20162999999999</c:v>
                </c:pt>
                <c:pt idx="406">
                  <c:v>71.396677999999994</c:v>
                </c:pt>
                <c:pt idx="407">
                  <c:v>41.300084999999996</c:v>
                </c:pt>
                <c:pt idx="408">
                  <c:v>89.42204799999999</c:v>
                </c:pt>
                <c:pt idx="409">
                  <c:v>116.101466</c:v>
                </c:pt>
                <c:pt idx="410">
                  <c:v>77.283339999999995</c:v>
                </c:pt>
                <c:pt idx="411">
                  <c:v>76.289976999999993</c:v>
                </c:pt>
                <c:pt idx="412">
                  <c:v>140.59186599999998</c:v>
                </c:pt>
                <c:pt idx="413">
                  <c:v>142.13676927747508</c:v>
                </c:pt>
                <c:pt idx="414">
                  <c:v>142.13676927747508</c:v>
                </c:pt>
                <c:pt idx="415">
                  <c:v>117.58539</c:v>
                </c:pt>
                <c:pt idx="416">
                  <c:v>81.948459999999997</c:v>
                </c:pt>
                <c:pt idx="417">
                  <c:v>142.13676927747508</c:v>
                </c:pt>
                <c:pt idx="418">
                  <c:v>142.13676927747508</c:v>
                </c:pt>
                <c:pt idx="419">
                  <c:v>142.13676927747508</c:v>
                </c:pt>
                <c:pt idx="420">
                  <c:v>142.13676927747508</c:v>
                </c:pt>
                <c:pt idx="421">
                  <c:v>142.13676927747508</c:v>
                </c:pt>
                <c:pt idx="422">
                  <c:v>142.13676927747508</c:v>
                </c:pt>
                <c:pt idx="423">
                  <c:v>142.13676927747508</c:v>
                </c:pt>
                <c:pt idx="424">
                  <c:v>142.13676927747508</c:v>
                </c:pt>
                <c:pt idx="425">
                  <c:v>142.13676927747508</c:v>
                </c:pt>
                <c:pt idx="426">
                  <c:v>138.63663340514475</c:v>
                </c:pt>
                <c:pt idx="427">
                  <c:v>138.63663340514475</c:v>
                </c:pt>
                <c:pt idx="428">
                  <c:v>138.63663340514475</c:v>
                </c:pt>
                <c:pt idx="429">
                  <c:v>97.730263000000008</c:v>
                </c:pt>
                <c:pt idx="430">
                  <c:v>138.63663340514475</c:v>
                </c:pt>
                <c:pt idx="431">
                  <c:v>108.75238</c:v>
                </c:pt>
                <c:pt idx="432">
                  <c:v>60.090370999999998</c:v>
                </c:pt>
                <c:pt idx="433">
                  <c:v>94.427125000000004</c:v>
                </c:pt>
                <c:pt idx="434">
                  <c:v>101.09446399999999</c:v>
                </c:pt>
                <c:pt idx="435">
                  <c:v>103.19056999999999</c:v>
                </c:pt>
                <c:pt idx="436">
                  <c:v>77.417433000000003</c:v>
                </c:pt>
                <c:pt idx="437">
                  <c:v>98.605398000000008</c:v>
                </c:pt>
                <c:pt idx="438">
                  <c:v>91.687049000000016</c:v>
                </c:pt>
                <c:pt idx="439">
                  <c:v>103.45359300000001</c:v>
                </c:pt>
                <c:pt idx="440">
                  <c:v>91.752726999999993</c:v>
                </c:pt>
                <c:pt idx="441">
                  <c:v>48.036050000000003</c:v>
                </c:pt>
                <c:pt idx="442">
                  <c:v>51.263207999999999</c:v>
                </c:pt>
                <c:pt idx="443">
                  <c:v>108.67077099999999</c:v>
                </c:pt>
                <c:pt idx="444">
                  <c:v>138.63663340514475</c:v>
                </c:pt>
                <c:pt idx="445">
                  <c:v>138.63663340514475</c:v>
                </c:pt>
                <c:pt idx="446">
                  <c:v>138.63663340514475</c:v>
                </c:pt>
                <c:pt idx="447">
                  <c:v>138.63663340514475</c:v>
                </c:pt>
                <c:pt idx="448">
                  <c:v>71.031289999999998</c:v>
                </c:pt>
                <c:pt idx="449">
                  <c:v>46.669957000000004</c:v>
                </c:pt>
                <c:pt idx="450">
                  <c:v>86.105929000000003</c:v>
                </c:pt>
                <c:pt idx="451">
                  <c:v>81.305091000000004</c:v>
                </c:pt>
                <c:pt idx="452">
                  <c:v>98.92193300000001</c:v>
                </c:pt>
                <c:pt idx="453">
                  <c:v>138.63663340514475</c:v>
                </c:pt>
                <c:pt idx="454">
                  <c:v>138.63663340514475</c:v>
                </c:pt>
                <c:pt idx="455">
                  <c:v>114.512218</c:v>
                </c:pt>
                <c:pt idx="456">
                  <c:v>138.63663340514475</c:v>
                </c:pt>
                <c:pt idx="457">
                  <c:v>136.80785408336422</c:v>
                </c:pt>
                <c:pt idx="458">
                  <c:v>134.19980600000002</c:v>
                </c:pt>
                <c:pt idx="459">
                  <c:v>128.86664499999998</c:v>
                </c:pt>
                <c:pt idx="460">
                  <c:v>117.52628900000001</c:v>
                </c:pt>
                <c:pt idx="461">
                  <c:v>136.80785408336422</c:v>
                </c:pt>
                <c:pt idx="462">
                  <c:v>136.80785408336422</c:v>
                </c:pt>
                <c:pt idx="463">
                  <c:v>136.80785408336422</c:v>
                </c:pt>
                <c:pt idx="464">
                  <c:v>136.80785408336422</c:v>
                </c:pt>
                <c:pt idx="465">
                  <c:v>136.80785408336422</c:v>
                </c:pt>
                <c:pt idx="466">
                  <c:v>136.80785408336422</c:v>
                </c:pt>
                <c:pt idx="467">
                  <c:v>136.80785408336422</c:v>
                </c:pt>
                <c:pt idx="468">
                  <c:v>74.595826000000002</c:v>
                </c:pt>
                <c:pt idx="469">
                  <c:v>78.096400000000003</c:v>
                </c:pt>
                <c:pt idx="470">
                  <c:v>79.493895999999992</c:v>
                </c:pt>
                <c:pt idx="471">
                  <c:v>94.060361999999998</c:v>
                </c:pt>
                <c:pt idx="472">
                  <c:v>97.814695</c:v>
                </c:pt>
                <c:pt idx="473">
                  <c:v>48.407660000000007</c:v>
                </c:pt>
                <c:pt idx="474">
                  <c:v>82.972586000000007</c:v>
                </c:pt>
                <c:pt idx="475">
                  <c:v>136.80785408336422</c:v>
                </c:pt>
                <c:pt idx="476">
                  <c:v>136.80785408336422</c:v>
                </c:pt>
                <c:pt idx="477">
                  <c:v>136.80785408336422</c:v>
                </c:pt>
                <c:pt idx="478">
                  <c:v>136.80785408336422</c:v>
                </c:pt>
                <c:pt idx="479">
                  <c:v>136.80785408336422</c:v>
                </c:pt>
                <c:pt idx="480">
                  <c:v>136.80785408336422</c:v>
                </c:pt>
                <c:pt idx="481">
                  <c:v>106.30001799999999</c:v>
                </c:pt>
                <c:pt idx="482">
                  <c:v>40.738879999999995</c:v>
                </c:pt>
                <c:pt idx="483">
                  <c:v>81.042478000000003</c:v>
                </c:pt>
                <c:pt idx="484">
                  <c:v>136.80785408336422</c:v>
                </c:pt>
                <c:pt idx="485">
                  <c:v>136.80785408336422</c:v>
                </c:pt>
                <c:pt idx="486">
                  <c:v>94.247309999999999</c:v>
                </c:pt>
                <c:pt idx="487">
                  <c:v>84.978501000000009</c:v>
                </c:pt>
                <c:pt idx="488">
                  <c:v>53.655705000000005</c:v>
                </c:pt>
                <c:pt idx="489">
                  <c:v>45.271990000000002</c:v>
                </c:pt>
                <c:pt idx="490">
                  <c:v>125.09698900000001</c:v>
                </c:pt>
                <c:pt idx="491">
                  <c:v>168.97030143019066</c:v>
                </c:pt>
                <c:pt idx="492">
                  <c:v>127.31721499999999</c:v>
                </c:pt>
                <c:pt idx="493">
                  <c:v>40.534945</c:v>
                </c:pt>
                <c:pt idx="494">
                  <c:v>93.948177000000015</c:v>
                </c:pt>
                <c:pt idx="495">
                  <c:v>168.97030143019066</c:v>
                </c:pt>
                <c:pt idx="496">
                  <c:v>168.97030143019066</c:v>
                </c:pt>
                <c:pt idx="497">
                  <c:v>116.77486</c:v>
                </c:pt>
                <c:pt idx="498">
                  <c:v>117.85022199999999</c:v>
                </c:pt>
                <c:pt idx="499">
                  <c:v>49.549046000000004</c:v>
                </c:pt>
                <c:pt idx="500">
                  <c:v>23.236794000000003</c:v>
                </c:pt>
                <c:pt idx="501">
                  <c:v>35.574103999999998</c:v>
                </c:pt>
                <c:pt idx="502">
                  <c:v>50.567974999999997</c:v>
                </c:pt>
                <c:pt idx="503">
                  <c:v>53.964230999999998</c:v>
                </c:pt>
                <c:pt idx="504">
                  <c:v>66.933449999999993</c:v>
                </c:pt>
                <c:pt idx="505">
                  <c:v>168.97030143019066</c:v>
                </c:pt>
                <c:pt idx="506">
                  <c:v>168.97030143019066</c:v>
                </c:pt>
                <c:pt idx="507">
                  <c:v>168.97030143019066</c:v>
                </c:pt>
                <c:pt idx="508">
                  <c:v>168.97030143019066</c:v>
                </c:pt>
                <c:pt idx="509">
                  <c:v>168.97030143019066</c:v>
                </c:pt>
                <c:pt idx="510">
                  <c:v>125.609931</c:v>
                </c:pt>
                <c:pt idx="511">
                  <c:v>117.720692</c:v>
                </c:pt>
                <c:pt idx="512">
                  <c:v>168.97030143019066</c:v>
                </c:pt>
                <c:pt idx="513">
                  <c:v>115.856505</c:v>
                </c:pt>
                <c:pt idx="514">
                  <c:v>100.175257</c:v>
                </c:pt>
                <c:pt idx="515">
                  <c:v>168.97030143019066</c:v>
                </c:pt>
                <c:pt idx="516">
                  <c:v>168.97030143019066</c:v>
                </c:pt>
                <c:pt idx="517">
                  <c:v>168.97030143019066</c:v>
                </c:pt>
                <c:pt idx="518">
                  <c:v>200.02664100000001</c:v>
                </c:pt>
                <c:pt idx="519">
                  <c:v>176.02249799999998</c:v>
                </c:pt>
                <c:pt idx="520">
                  <c:v>98.33959999999999</c:v>
                </c:pt>
                <c:pt idx="521">
                  <c:v>208.66384323876261</c:v>
                </c:pt>
                <c:pt idx="522">
                  <c:v>208.66384323876261</c:v>
                </c:pt>
                <c:pt idx="523">
                  <c:v>208.66384323876261</c:v>
                </c:pt>
                <c:pt idx="524">
                  <c:v>208.66384323876261</c:v>
                </c:pt>
                <c:pt idx="525">
                  <c:v>208.66384323876261</c:v>
                </c:pt>
                <c:pt idx="526">
                  <c:v>129.52230800000001</c:v>
                </c:pt>
                <c:pt idx="527">
                  <c:v>134.22962799999999</c:v>
                </c:pt>
                <c:pt idx="528">
                  <c:v>208.66384323876261</c:v>
                </c:pt>
                <c:pt idx="529">
                  <c:v>208.66384323876261</c:v>
                </c:pt>
                <c:pt idx="530">
                  <c:v>208.66384323876261</c:v>
                </c:pt>
                <c:pt idx="531">
                  <c:v>208.66384323876261</c:v>
                </c:pt>
                <c:pt idx="532">
                  <c:v>208.66384323876261</c:v>
                </c:pt>
                <c:pt idx="533">
                  <c:v>207.499269</c:v>
                </c:pt>
                <c:pt idx="534">
                  <c:v>164.15006100000002</c:v>
                </c:pt>
                <c:pt idx="535">
                  <c:v>191.09094200000001</c:v>
                </c:pt>
                <c:pt idx="536">
                  <c:v>131.831076</c:v>
                </c:pt>
                <c:pt idx="537">
                  <c:v>208.66384323876261</c:v>
                </c:pt>
                <c:pt idx="538">
                  <c:v>208.66384323876261</c:v>
                </c:pt>
                <c:pt idx="539">
                  <c:v>208.66384323876261</c:v>
                </c:pt>
                <c:pt idx="540">
                  <c:v>208.66384323876261</c:v>
                </c:pt>
                <c:pt idx="541">
                  <c:v>208.66384323876261</c:v>
                </c:pt>
                <c:pt idx="542">
                  <c:v>208.66384323876261</c:v>
                </c:pt>
                <c:pt idx="543">
                  <c:v>208.66384323876261</c:v>
                </c:pt>
                <c:pt idx="544">
                  <c:v>206.740038</c:v>
                </c:pt>
                <c:pt idx="545">
                  <c:v>79.520308999999997</c:v>
                </c:pt>
                <c:pt idx="546">
                  <c:v>100.69841000000001</c:v>
                </c:pt>
                <c:pt idx="547">
                  <c:v>208.66384323876261</c:v>
                </c:pt>
                <c:pt idx="548">
                  <c:v>137.53796499999999</c:v>
                </c:pt>
                <c:pt idx="549">
                  <c:v>189.51876700000003</c:v>
                </c:pt>
                <c:pt idx="550">
                  <c:v>201.66288660427333</c:v>
                </c:pt>
                <c:pt idx="551">
                  <c:v>201.66288660427333</c:v>
                </c:pt>
                <c:pt idx="552">
                  <c:v>201.66288660427333</c:v>
                </c:pt>
                <c:pt idx="553">
                  <c:v>201.66288660427333</c:v>
                </c:pt>
                <c:pt idx="554">
                  <c:v>201.66288660427333</c:v>
                </c:pt>
                <c:pt idx="555">
                  <c:v>143.03544500000001</c:v>
                </c:pt>
                <c:pt idx="556">
                  <c:v>201.66288660427333</c:v>
                </c:pt>
                <c:pt idx="557">
                  <c:v>76.776893999999999</c:v>
                </c:pt>
                <c:pt idx="558">
                  <c:v>129.776892</c:v>
                </c:pt>
                <c:pt idx="559">
                  <c:v>142.31672100000003</c:v>
                </c:pt>
                <c:pt idx="560">
                  <c:v>125.60963099999999</c:v>
                </c:pt>
                <c:pt idx="561">
                  <c:v>108.79696799999999</c:v>
                </c:pt>
                <c:pt idx="562">
                  <c:v>143.20590899999999</c:v>
                </c:pt>
                <c:pt idx="563">
                  <c:v>153.39876599999999</c:v>
                </c:pt>
                <c:pt idx="564">
                  <c:v>96.511004</c:v>
                </c:pt>
                <c:pt idx="565">
                  <c:v>184.78287800000001</c:v>
                </c:pt>
                <c:pt idx="566">
                  <c:v>56.398639000000003</c:v>
                </c:pt>
                <c:pt idx="567">
                  <c:v>154.25251499999999</c:v>
                </c:pt>
                <c:pt idx="568">
                  <c:v>201.66288660427333</c:v>
                </c:pt>
                <c:pt idx="569">
                  <c:v>201.66288660427333</c:v>
                </c:pt>
                <c:pt idx="570">
                  <c:v>201.66288660427333</c:v>
                </c:pt>
                <c:pt idx="571">
                  <c:v>201.66288660427333</c:v>
                </c:pt>
                <c:pt idx="572">
                  <c:v>124.686553</c:v>
                </c:pt>
                <c:pt idx="573">
                  <c:v>60.320762999999999</c:v>
                </c:pt>
                <c:pt idx="574">
                  <c:v>173.214023</c:v>
                </c:pt>
                <c:pt idx="575">
                  <c:v>158.09477200000001</c:v>
                </c:pt>
                <c:pt idx="576">
                  <c:v>21.450118</c:v>
                </c:pt>
                <c:pt idx="577">
                  <c:v>142.415367</c:v>
                </c:pt>
                <c:pt idx="578">
                  <c:v>85.067233999999999</c:v>
                </c:pt>
                <c:pt idx="579">
                  <c:v>98.519115999999997</c:v>
                </c:pt>
                <c:pt idx="580">
                  <c:v>129.93630999999999</c:v>
                </c:pt>
                <c:pt idx="581">
                  <c:v>141.03402</c:v>
                </c:pt>
                <c:pt idx="582">
                  <c:v>236.87341047162496</c:v>
                </c:pt>
                <c:pt idx="583">
                  <c:v>236.87341047162496</c:v>
                </c:pt>
                <c:pt idx="584">
                  <c:v>236.87341047162496</c:v>
                </c:pt>
                <c:pt idx="585">
                  <c:v>236.87341047162496</c:v>
                </c:pt>
                <c:pt idx="586">
                  <c:v>236.87341047162496</c:v>
                </c:pt>
                <c:pt idx="587">
                  <c:v>236.87341047162496</c:v>
                </c:pt>
                <c:pt idx="588">
                  <c:v>236.87341047162496</c:v>
                </c:pt>
                <c:pt idx="589">
                  <c:v>225.99817199999998</c:v>
                </c:pt>
                <c:pt idx="590">
                  <c:v>211.16544099999999</c:v>
                </c:pt>
                <c:pt idx="591">
                  <c:v>236.87341047162496</c:v>
                </c:pt>
                <c:pt idx="592">
                  <c:v>82.735627999999991</c:v>
                </c:pt>
                <c:pt idx="593">
                  <c:v>213.93195300000002</c:v>
                </c:pt>
                <c:pt idx="594">
                  <c:v>112.592851</c:v>
                </c:pt>
                <c:pt idx="595">
                  <c:v>59.133735000000001</c:v>
                </c:pt>
                <c:pt idx="596">
                  <c:v>56.310523000000003</c:v>
                </c:pt>
                <c:pt idx="597">
                  <c:v>149.89128500000001</c:v>
                </c:pt>
                <c:pt idx="598">
                  <c:v>236.87341047162496</c:v>
                </c:pt>
                <c:pt idx="599">
                  <c:v>236.87341047162496</c:v>
                </c:pt>
                <c:pt idx="600">
                  <c:v>236.87341047162496</c:v>
                </c:pt>
                <c:pt idx="601">
                  <c:v>236.87341047162496</c:v>
                </c:pt>
                <c:pt idx="602">
                  <c:v>236.87341047162496</c:v>
                </c:pt>
                <c:pt idx="603">
                  <c:v>236.87341047162496</c:v>
                </c:pt>
                <c:pt idx="604">
                  <c:v>236.87341047162496</c:v>
                </c:pt>
                <c:pt idx="605">
                  <c:v>236.87341047162496</c:v>
                </c:pt>
                <c:pt idx="606">
                  <c:v>236.87341047162496</c:v>
                </c:pt>
                <c:pt idx="607">
                  <c:v>236.87341047162496</c:v>
                </c:pt>
                <c:pt idx="608">
                  <c:v>236.87341047162496</c:v>
                </c:pt>
                <c:pt idx="609">
                  <c:v>236.87341047162496</c:v>
                </c:pt>
                <c:pt idx="610">
                  <c:v>179.25360599999999</c:v>
                </c:pt>
                <c:pt idx="611">
                  <c:v>221.37039545228757</c:v>
                </c:pt>
                <c:pt idx="612">
                  <c:v>221.37039545228757</c:v>
                </c:pt>
                <c:pt idx="613">
                  <c:v>221.37039545228757</c:v>
                </c:pt>
                <c:pt idx="614">
                  <c:v>221.37039545228757</c:v>
                </c:pt>
                <c:pt idx="615">
                  <c:v>221.37039545228757</c:v>
                </c:pt>
                <c:pt idx="616">
                  <c:v>221.37039545228757</c:v>
                </c:pt>
                <c:pt idx="617">
                  <c:v>202.28541300000001</c:v>
                </c:pt>
                <c:pt idx="618">
                  <c:v>221.37039545228757</c:v>
                </c:pt>
                <c:pt idx="619">
                  <c:v>221.37039545228757</c:v>
                </c:pt>
                <c:pt idx="620">
                  <c:v>221.37039545228757</c:v>
                </c:pt>
                <c:pt idx="621">
                  <c:v>221.37039545228757</c:v>
                </c:pt>
                <c:pt idx="622">
                  <c:v>221.37039545228757</c:v>
                </c:pt>
                <c:pt idx="623">
                  <c:v>221.37039545228757</c:v>
                </c:pt>
                <c:pt idx="624">
                  <c:v>221.37039545228757</c:v>
                </c:pt>
                <c:pt idx="625">
                  <c:v>221.37039545228757</c:v>
                </c:pt>
                <c:pt idx="626">
                  <c:v>221.37039545228757</c:v>
                </c:pt>
                <c:pt idx="627">
                  <c:v>221.37039545228757</c:v>
                </c:pt>
                <c:pt idx="628">
                  <c:v>221.37039545228757</c:v>
                </c:pt>
                <c:pt idx="629">
                  <c:v>190.55159900000001</c:v>
                </c:pt>
                <c:pt idx="630">
                  <c:v>61.297213999999997</c:v>
                </c:pt>
                <c:pt idx="631">
                  <c:v>36.539241000000004</c:v>
                </c:pt>
                <c:pt idx="632">
                  <c:v>32.086672999999998</c:v>
                </c:pt>
                <c:pt idx="633">
                  <c:v>90.482468999999995</c:v>
                </c:pt>
                <c:pt idx="634">
                  <c:v>87.28028900000001</c:v>
                </c:pt>
                <c:pt idx="635">
                  <c:v>77.833936000000008</c:v>
                </c:pt>
                <c:pt idx="636">
                  <c:v>120.428956</c:v>
                </c:pt>
                <c:pt idx="637">
                  <c:v>109.41116000000001</c:v>
                </c:pt>
                <c:pt idx="638">
                  <c:v>113.383557</c:v>
                </c:pt>
                <c:pt idx="639">
                  <c:v>227.50562599999998</c:v>
                </c:pt>
                <c:pt idx="640">
                  <c:v>209.14020199999999</c:v>
                </c:pt>
                <c:pt idx="641">
                  <c:v>185.902286</c:v>
                </c:pt>
                <c:pt idx="642">
                  <c:v>145.03620999999998</c:v>
                </c:pt>
                <c:pt idx="643">
                  <c:v>238.10762487763043</c:v>
                </c:pt>
                <c:pt idx="644">
                  <c:v>142.02393700000002</c:v>
                </c:pt>
                <c:pt idx="645">
                  <c:v>19.999534000000001</c:v>
                </c:pt>
                <c:pt idx="646">
                  <c:v>56.807061999999995</c:v>
                </c:pt>
                <c:pt idx="647">
                  <c:v>56.208468000000003</c:v>
                </c:pt>
                <c:pt idx="648">
                  <c:v>43.091881000000001</c:v>
                </c:pt>
                <c:pt idx="649">
                  <c:v>73.909861000000006</c:v>
                </c:pt>
                <c:pt idx="650">
                  <c:v>173.74593299999998</c:v>
                </c:pt>
                <c:pt idx="651">
                  <c:v>238.10762487763043</c:v>
                </c:pt>
                <c:pt idx="652">
                  <c:v>200.180316</c:v>
                </c:pt>
                <c:pt idx="653">
                  <c:v>153.60093600000002</c:v>
                </c:pt>
                <c:pt idx="654">
                  <c:v>108.16517599999999</c:v>
                </c:pt>
                <c:pt idx="655">
                  <c:v>100.39067</c:v>
                </c:pt>
                <c:pt idx="656">
                  <c:v>201.574048</c:v>
                </c:pt>
                <c:pt idx="657">
                  <c:v>181.97926199999998</c:v>
                </c:pt>
                <c:pt idx="658">
                  <c:v>72.705559999999991</c:v>
                </c:pt>
                <c:pt idx="659">
                  <c:v>114.395635</c:v>
                </c:pt>
                <c:pt idx="660">
                  <c:v>180.97240199999999</c:v>
                </c:pt>
                <c:pt idx="661">
                  <c:v>73.448057999999989</c:v>
                </c:pt>
                <c:pt idx="662">
                  <c:v>186.46900600000001</c:v>
                </c:pt>
                <c:pt idx="663">
                  <c:v>238.10762487763043</c:v>
                </c:pt>
                <c:pt idx="664">
                  <c:v>238.10762487763043</c:v>
                </c:pt>
                <c:pt idx="665">
                  <c:v>238.10762487763043</c:v>
                </c:pt>
                <c:pt idx="666">
                  <c:v>231.87094500000001</c:v>
                </c:pt>
                <c:pt idx="667">
                  <c:v>238.10762487763043</c:v>
                </c:pt>
                <c:pt idx="668">
                  <c:v>238.10762487763043</c:v>
                </c:pt>
                <c:pt idx="669">
                  <c:v>185.36116679030002</c:v>
                </c:pt>
                <c:pt idx="670">
                  <c:v>185.36116679030002</c:v>
                </c:pt>
                <c:pt idx="671">
                  <c:v>170.71929499999999</c:v>
                </c:pt>
                <c:pt idx="672">
                  <c:v>82.160215000000008</c:v>
                </c:pt>
                <c:pt idx="673">
                  <c:v>60.046943999999996</c:v>
                </c:pt>
                <c:pt idx="674">
                  <c:v>142.99351100000001</c:v>
                </c:pt>
                <c:pt idx="675">
                  <c:v>185.36116679030002</c:v>
                </c:pt>
                <c:pt idx="676">
                  <c:v>92.76430400000001</c:v>
                </c:pt>
                <c:pt idx="677">
                  <c:v>98.755494000000013</c:v>
                </c:pt>
                <c:pt idx="678">
                  <c:v>124.06647599999999</c:v>
                </c:pt>
                <c:pt idx="679">
                  <c:v>166.06642099999999</c:v>
                </c:pt>
                <c:pt idx="680">
                  <c:v>185.36116679030002</c:v>
                </c:pt>
                <c:pt idx="681">
                  <c:v>185.36116679030002</c:v>
                </c:pt>
                <c:pt idx="682">
                  <c:v>185.36116679030002</c:v>
                </c:pt>
                <c:pt idx="683">
                  <c:v>124.76215499999999</c:v>
                </c:pt>
                <c:pt idx="684">
                  <c:v>48.532853000000003</c:v>
                </c:pt>
                <c:pt idx="685">
                  <c:v>43.739114999999998</c:v>
                </c:pt>
                <c:pt idx="686">
                  <c:v>89.870743000000004</c:v>
                </c:pt>
                <c:pt idx="687">
                  <c:v>82.488242</c:v>
                </c:pt>
                <c:pt idx="688">
                  <c:v>54.149662000000006</c:v>
                </c:pt>
                <c:pt idx="689">
                  <c:v>121.52161099999999</c:v>
                </c:pt>
                <c:pt idx="690">
                  <c:v>104.99082199999999</c:v>
                </c:pt>
                <c:pt idx="691">
                  <c:v>145.16140099999998</c:v>
                </c:pt>
                <c:pt idx="692">
                  <c:v>70.450730000000007</c:v>
                </c:pt>
                <c:pt idx="693">
                  <c:v>69.69039699999999</c:v>
                </c:pt>
                <c:pt idx="694">
                  <c:v>68.809919000000008</c:v>
                </c:pt>
                <c:pt idx="695">
                  <c:v>123.05949900000002</c:v>
                </c:pt>
                <c:pt idx="696">
                  <c:v>131.29952399999996</c:v>
                </c:pt>
                <c:pt idx="697">
                  <c:v>134.25025600000001</c:v>
                </c:pt>
                <c:pt idx="698">
                  <c:v>48.601282999999995</c:v>
                </c:pt>
                <c:pt idx="699">
                  <c:v>68.322485999999984</c:v>
                </c:pt>
                <c:pt idx="700">
                  <c:v>142.81091400000003</c:v>
                </c:pt>
                <c:pt idx="701">
                  <c:v>72.598108999999994</c:v>
                </c:pt>
                <c:pt idx="702">
                  <c:v>82.396591999999998</c:v>
                </c:pt>
                <c:pt idx="703">
                  <c:v>88.937071000000003</c:v>
                </c:pt>
                <c:pt idx="704">
                  <c:v>62.164128000000005</c:v>
                </c:pt>
                <c:pt idx="705">
                  <c:v>87.728083999999996</c:v>
                </c:pt>
                <c:pt idx="706">
                  <c:v>109.579151</c:v>
                </c:pt>
                <c:pt idx="707">
                  <c:v>164.42676239996658</c:v>
                </c:pt>
                <c:pt idx="708">
                  <c:v>152.71892700000001</c:v>
                </c:pt>
                <c:pt idx="709">
                  <c:v>101.569981</c:v>
                </c:pt>
                <c:pt idx="710">
                  <c:v>123.192919</c:v>
                </c:pt>
                <c:pt idx="711">
                  <c:v>164.42676239996658</c:v>
                </c:pt>
                <c:pt idx="712">
                  <c:v>164.42676239996658</c:v>
                </c:pt>
                <c:pt idx="713">
                  <c:v>164.42676239996658</c:v>
                </c:pt>
                <c:pt idx="714">
                  <c:v>122.40937699999999</c:v>
                </c:pt>
                <c:pt idx="715">
                  <c:v>64.257786999999993</c:v>
                </c:pt>
                <c:pt idx="716">
                  <c:v>84.683417000000006</c:v>
                </c:pt>
                <c:pt idx="717">
                  <c:v>103.316154</c:v>
                </c:pt>
                <c:pt idx="718">
                  <c:v>61.231966</c:v>
                </c:pt>
                <c:pt idx="719">
                  <c:v>92.967826999999986</c:v>
                </c:pt>
                <c:pt idx="720">
                  <c:v>103.387033</c:v>
                </c:pt>
                <c:pt idx="721">
                  <c:v>111.11902099999999</c:v>
                </c:pt>
                <c:pt idx="722">
                  <c:v>120.56154800000002</c:v>
                </c:pt>
                <c:pt idx="723">
                  <c:v>138.59159599999998</c:v>
                </c:pt>
                <c:pt idx="724">
                  <c:v>107.176824</c:v>
                </c:pt>
                <c:pt idx="725">
                  <c:v>75.98342199999999</c:v>
                </c:pt>
                <c:pt idx="726">
                  <c:v>67.576924999999989</c:v>
                </c:pt>
                <c:pt idx="727">
                  <c:v>57.877192999999998</c:v>
                </c:pt>
                <c:pt idx="728">
                  <c:v>68.565592999999993</c:v>
                </c:pt>
                <c:pt idx="729">
                  <c:v>111.873481</c:v>
                </c:pt>
                <c:pt idx="730">
                  <c:v>94.753359000000017</c:v>
                </c:pt>
                <c:pt idx="731">
                  <c:v>135.8052732545944</c:v>
                </c:pt>
                <c:pt idx="732">
                  <c:v>135.8052732545944</c:v>
                </c:pt>
                <c:pt idx="733">
                  <c:v>135.8052732545944</c:v>
                </c:pt>
                <c:pt idx="734">
                  <c:v>135.8052732545944</c:v>
                </c:pt>
                <c:pt idx="735">
                  <c:v>85.398071999999999</c:v>
                </c:pt>
                <c:pt idx="736">
                  <c:v>109.51207799999999</c:v>
                </c:pt>
                <c:pt idx="737">
                  <c:v>106.124251</c:v>
                </c:pt>
                <c:pt idx="738">
                  <c:v>135.8052732545944</c:v>
                </c:pt>
                <c:pt idx="739">
                  <c:v>135.8052732545944</c:v>
                </c:pt>
                <c:pt idx="740">
                  <c:v>135.8052732545944</c:v>
                </c:pt>
                <c:pt idx="741">
                  <c:v>135.8052732545944</c:v>
                </c:pt>
                <c:pt idx="742">
                  <c:v>105.25317600000001</c:v>
                </c:pt>
                <c:pt idx="743">
                  <c:v>69.306298999999996</c:v>
                </c:pt>
                <c:pt idx="744">
                  <c:v>65.093827000000005</c:v>
                </c:pt>
                <c:pt idx="745">
                  <c:v>41.971945999999996</c:v>
                </c:pt>
                <c:pt idx="746">
                  <c:v>83.831299999999999</c:v>
                </c:pt>
                <c:pt idx="747">
                  <c:v>113.15520300000001</c:v>
                </c:pt>
                <c:pt idx="748">
                  <c:v>114.87247499999999</c:v>
                </c:pt>
                <c:pt idx="749">
                  <c:v>135.8052732545944</c:v>
                </c:pt>
                <c:pt idx="750">
                  <c:v>135.8052732545944</c:v>
                </c:pt>
                <c:pt idx="751">
                  <c:v>135.8052732545944</c:v>
                </c:pt>
                <c:pt idx="752">
                  <c:v>111.80208799999998</c:v>
                </c:pt>
                <c:pt idx="753">
                  <c:v>117.688106</c:v>
                </c:pt>
                <c:pt idx="754">
                  <c:v>135.8052732545944</c:v>
                </c:pt>
                <c:pt idx="755">
                  <c:v>100.43593399999999</c:v>
                </c:pt>
                <c:pt idx="756">
                  <c:v>92.335983000000013</c:v>
                </c:pt>
                <c:pt idx="757">
                  <c:v>104.257893</c:v>
                </c:pt>
                <c:pt idx="758">
                  <c:v>135.8052732545944</c:v>
                </c:pt>
                <c:pt idx="759">
                  <c:v>135.8052732545944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multiLvlStrRef>
              <c:f>'Data 4'!$F$2:$G$761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4'!$H$2:$H$762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Dat_01!$AA$182</c:f>
              <c:strCache>
                <c:ptCount val="1"/>
                <c:pt idx="0">
                  <c:v>Generación solar fotovoltaica (GWh)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5D-4EFF-9011-2DD7F9615E43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4C-422F-A67C-FD4E602D12F2}"/>
              </c:ext>
            </c:extLst>
          </c:dPt>
          <c:dPt>
            <c:idx val="2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35C-4665-898C-A0FCACF12BF9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8A-47AE-8607-DE81DCF7E2A2}"/>
              </c:ext>
            </c:extLst>
          </c:dPt>
          <c:dPt>
            <c:idx val="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2D-4C84-9DA0-251C271BE607}"/>
              </c:ext>
            </c:extLst>
          </c:dPt>
          <c:dPt>
            <c:idx val="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68A-459D-96B8-DC05E2135598}"/>
              </c:ext>
            </c:extLst>
          </c:dPt>
          <c:dPt>
            <c:idx val="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8BB-49FF-9B74-FC2C9292786E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9A3-4695-8F2C-8C39BAD60FF9}"/>
              </c:ext>
            </c:extLst>
          </c:dPt>
          <c:dPt>
            <c:idx val="1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7CC6-4E89-8A8E-23E123F4C341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14-48DC-A440-119339425588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17-4E14-A539-892DD7405B2D}"/>
              </c:ext>
            </c:extLst>
          </c:dPt>
          <c:dPt>
            <c:idx val="1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57EA-4AD3-B465-CF467F87BCCE}"/>
              </c:ext>
            </c:extLst>
          </c:dPt>
          <c:dPt>
            <c:idx val="1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1E7-41E3-AA6E-5E0FA72F0C15}"/>
              </c:ext>
            </c:extLst>
          </c:dPt>
          <c:dPt>
            <c:idx val="1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6CB8-4A4B-9C0C-C73844E812E1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A78-4F72-AD28-A283E6D0A492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8E-4AFA-B018-DC8DACA035C5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A13-406E-BA4C-2E0E7C910930}"/>
              </c:ext>
            </c:extLst>
          </c:dPt>
          <c:dPt>
            <c:idx val="2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F2-47EC-A220-AD730E91A1EA}"/>
              </c:ext>
            </c:extLst>
          </c:dPt>
          <c:dPt>
            <c:idx val="2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F2-47EC-A220-AD730E91A1EA}"/>
              </c:ext>
            </c:extLst>
          </c:dPt>
          <c:dPt>
            <c:idx val="2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C17-4C23-9F93-F76F9F40DDF4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45-4432-963D-235F454CF342}"/>
              </c:ext>
            </c:extLst>
          </c:dPt>
          <c:dPt>
            <c:idx val="2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0A-4D2C-9435-F76805FBC66E}"/>
              </c:ext>
            </c:extLst>
          </c:dPt>
          <c:dPt>
            <c:idx val="27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E-4BDE-9882-51AE7BF37A6E}"/>
              </c:ext>
            </c:extLst>
          </c:dPt>
          <c:dPt>
            <c:idx val="2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CE2B-4C98-B32F-1E9046C33149}"/>
              </c:ext>
            </c:extLst>
          </c:dPt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Dat_01!$AA$184:$AA$213</c:f>
              <c:numCache>
                <c:formatCode>0_)</c:formatCode>
                <c:ptCount val="30"/>
                <c:pt idx="0">
                  <c:v>253.50854000000001</c:v>
                </c:pt>
                <c:pt idx="1">
                  <c:v>226.235128</c:v>
                </c:pt>
                <c:pt idx="2">
                  <c:v>244.66420000000002</c:v>
                </c:pt>
                <c:pt idx="3">
                  <c:v>211.90284700000001</c:v>
                </c:pt>
                <c:pt idx="4">
                  <c:v>220.90942000000001</c:v>
                </c:pt>
                <c:pt idx="5">
                  <c:v>229.57669300000001</c:v>
                </c:pt>
                <c:pt idx="6">
                  <c:v>186.920635</c:v>
                </c:pt>
                <c:pt idx="7">
                  <c:v>244.24659500000001</c:v>
                </c:pt>
                <c:pt idx="8">
                  <c:v>229.233428</c:v>
                </c:pt>
                <c:pt idx="9">
                  <c:v>212.55846599999998</c:v>
                </c:pt>
                <c:pt idx="10">
                  <c:v>220.233194</c:v>
                </c:pt>
                <c:pt idx="11">
                  <c:v>239.78746599999999</c:v>
                </c:pt>
                <c:pt idx="12">
                  <c:v>214.52906300000001</c:v>
                </c:pt>
                <c:pt idx="13">
                  <c:v>195.81500500000001</c:v>
                </c:pt>
                <c:pt idx="14">
                  <c:v>246.05852400000001</c:v>
                </c:pt>
                <c:pt idx="15">
                  <c:v>249.45856599999999</c:v>
                </c:pt>
                <c:pt idx="16">
                  <c:v>247.23474200000001</c:v>
                </c:pt>
                <c:pt idx="17">
                  <c:v>254.68720300000001</c:v>
                </c:pt>
                <c:pt idx="18">
                  <c:v>253.76493199999999</c:v>
                </c:pt>
                <c:pt idx="19">
                  <c:v>229.12942000000001</c:v>
                </c:pt>
                <c:pt idx="20">
                  <c:v>225.84856200000002</c:v>
                </c:pt>
                <c:pt idx="21">
                  <c:v>238.146726</c:v>
                </c:pt>
                <c:pt idx="22">
                  <c:v>246.83082999999999</c:v>
                </c:pt>
                <c:pt idx="23">
                  <c:v>240.16638900000001</c:v>
                </c:pt>
                <c:pt idx="24">
                  <c:v>233.94985800000001</c:v>
                </c:pt>
                <c:pt idx="25">
                  <c:v>266.02973900000001</c:v>
                </c:pt>
                <c:pt idx="26">
                  <c:v>246.75753800000001</c:v>
                </c:pt>
                <c:pt idx="27">
                  <c:v>205.59002100000001</c:v>
                </c:pt>
                <c:pt idx="28">
                  <c:v>242.89410699999999</c:v>
                </c:pt>
                <c:pt idx="29">
                  <c:v>256.66834499999999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Dat_01!$Z$182</c:f>
              <c:strCache>
                <c:ptCount val="1"/>
                <c:pt idx="0">
                  <c:v>Generación solar fotovoltaica/Generación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Dat_01!$Z$184:$Z$213</c:f>
              <c:numCache>
                <c:formatCode>0.0_)</c:formatCode>
                <c:ptCount val="30"/>
                <c:pt idx="0">
                  <c:v>35.079073393211317</c:v>
                </c:pt>
                <c:pt idx="1">
                  <c:v>30.715635921323571</c:v>
                </c:pt>
                <c:pt idx="2">
                  <c:v>33.536411547523549</c:v>
                </c:pt>
                <c:pt idx="3">
                  <c:v>29.676180411866575</c:v>
                </c:pt>
                <c:pt idx="4">
                  <c:v>30.897550720999039</c:v>
                </c:pt>
                <c:pt idx="5">
                  <c:v>36.558770945716375</c:v>
                </c:pt>
                <c:pt idx="6">
                  <c:v>31.055199030387907</c:v>
                </c:pt>
                <c:pt idx="7">
                  <c:v>35.149504042507438</c:v>
                </c:pt>
                <c:pt idx="8">
                  <c:v>31.349378503670867</c:v>
                </c:pt>
                <c:pt idx="9">
                  <c:v>28.658040187484545</c:v>
                </c:pt>
                <c:pt idx="10">
                  <c:v>29.270963962078678</c:v>
                </c:pt>
                <c:pt idx="11">
                  <c:v>31.948485479063987</c:v>
                </c:pt>
                <c:pt idx="12">
                  <c:v>32.309420157163402</c:v>
                </c:pt>
                <c:pt idx="13">
                  <c:v>31.225522710448629</c:v>
                </c:pt>
                <c:pt idx="14">
                  <c:v>33.17871751452131</c:v>
                </c:pt>
                <c:pt idx="15">
                  <c:v>31.659622173329971</c:v>
                </c:pt>
                <c:pt idx="16">
                  <c:v>30.326393392925993</c:v>
                </c:pt>
                <c:pt idx="17">
                  <c:v>30.421914074841144</c:v>
                </c:pt>
                <c:pt idx="18">
                  <c:v>30.209766107721009</c:v>
                </c:pt>
                <c:pt idx="19">
                  <c:v>29.839148578440366</c:v>
                </c:pt>
                <c:pt idx="20">
                  <c:v>29.368844733383519</c:v>
                </c:pt>
                <c:pt idx="21">
                  <c:v>27.460755252985653</c:v>
                </c:pt>
                <c:pt idx="22">
                  <c:v>28.023990203646381</c:v>
                </c:pt>
                <c:pt idx="23">
                  <c:v>27.721485679747325</c:v>
                </c:pt>
                <c:pt idx="24">
                  <c:v>26.486152655034267</c:v>
                </c:pt>
                <c:pt idx="25">
                  <c:v>30.830071493008148</c:v>
                </c:pt>
                <c:pt idx="26">
                  <c:v>30.598798319503761</c:v>
                </c:pt>
                <c:pt idx="27">
                  <c:v>28.564115654900402</c:v>
                </c:pt>
                <c:pt idx="28">
                  <c:v>28.125913693964311</c:v>
                </c:pt>
                <c:pt idx="29">
                  <c:v>29.346274304056429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12702844999698"/>
          <c:y val="3.6949063077329113E-2"/>
          <c:w val="0.71566002792634253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5'!$C$2:$C$762</c:f>
              <c:numCache>
                <c:formatCode>#,##0</c:formatCode>
                <c:ptCount val="761"/>
                <c:pt idx="0">
                  <c:v>147.87666700000003</c:v>
                </c:pt>
                <c:pt idx="1">
                  <c:v>151.50779699999998</c:v>
                </c:pt>
                <c:pt idx="2">
                  <c:v>176.83338599999999</c:v>
                </c:pt>
                <c:pt idx="3">
                  <c:v>189.30363900000003</c:v>
                </c:pt>
                <c:pt idx="4">
                  <c:v>184.41141099999999</c:v>
                </c:pt>
                <c:pt idx="5">
                  <c:v>163.438928</c:v>
                </c:pt>
                <c:pt idx="6">
                  <c:v>133.16868500000001</c:v>
                </c:pt>
                <c:pt idx="7">
                  <c:v>123.673928</c:v>
                </c:pt>
                <c:pt idx="8">
                  <c:v>112.13243199999998</c:v>
                </c:pt>
                <c:pt idx="9">
                  <c:v>123.059034</c:v>
                </c:pt>
                <c:pt idx="10">
                  <c:v>157.393722</c:v>
                </c:pt>
                <c:pt idx="11">
                  <c:v>153.54156099999997</c:v>
                </c:pt>
                <c:pt idx="12">
                  <c:v>178.42045999999999</c:v>
                </c:pt>
                <c:pt idx="13">
                  <c:v>185.63656800000001</c:v>
                </c:pt>
                <c:pt idx="14">
                  <c:v>156.48865700000002</c:v>
                </c:pt>
                <c:pt idx="15">
                  <c:v>146.635043</c:v>
                </c:pt>
                <c:pt idx="16">
                  <c:v>198.71553900000001</c:v>
                </c:pt>
                <c:pt idx="17">
                  <c:v>143.64317499999999</c:v>
                </c:pt>
                <c:pt idx="18">
                  <c:v>139.86172399999998</c:v>
                </c:pt>
                <c:pt idx="19">
                  <c:v>153.71248399999999</c:v>
                </c:pt>
                <c:pt idx="20">
                  <c:v>201.16819099999998</c:v>
                </c:pt>
                <c:pt idx="21">
                  <c:v>173.846226</c:v>
                </c:pt>
                <c:pt idx="22">
                  <c:v>149.951358</c:v>
                </c:pt>
                <c:pt idx="23">
                  <c:v>191.35134299999999</c:v>
                </c:pt>
                <c:pt idx="24">
                  <c:v>191.65865400000001</c:v>
                </c:pt>
                <c:pt idx="25">
                  <c:v>153.04221900000002</c:v>
                </c:pt>
                <c:pt idx="26">
                  <c:v>143.51155800000001</c:v>
                </c:pt>
                <c:pt idx="27">
                  <c:v>121.09355000000001</c:v>
                </c:pt>
                <c:pt idx="28">
                  <c:v>102.74132399999999</c:v>
                </c:pt>
                <c:pt idx="29">
                  <c:v>152.093672</c:v>
                </c:pt>
                <c:pt idx="30">
                  <c:v>176.68966500000002</c:v>
                </c:pt>
                <c:pt idx="31">
                  <c:v>199.131606</c:v>
                </c:pt>
                <c:pt idx="32">
                  <c:v>203.566722</c:v>
                </c:pt>
                <c:pt idx="33">
                  <c:v>198.899293</c:v>
                </c:pt>
                <c:pt idx="34">
                  <c:v>194.11130199999999</c:v>
                </c:pt>
                <c:pt idx="35">
                  <c:v>150.343636</c:v>
                </c:pt>
                <c:pt idx="36">
                  <c:v>159.93816700000002</c:v>
                </c:pt>
                <c:pt idx="37">
                  <c:v>194.41218799999999</c:v>
                </c:pt>
                <c:pt idx="38">
                  <c:v>194.626385</c:v>
                </c:pt>
                <c:pt idx="39">
                  <c:v>202.80241800000002</c:v>
                </c:pt>
                <c:pt idx="40">
                  <c:v>202.98172200000002</c:v>
                </c:pt>
                <c:pt idx="41">
                  <c:v>209.10517899999999</c:v>
                </c:pt>
                <c:pt idx="42">
                  <c:v>187.23530700000001</c:v>
                </c:pt>
                <c:pt idx="43">
                  <c:v>171.06237100000001</c:v>
                </c:pt>
                <c:pt idx="44">
                  <c:v>183.149687</c:v>
                </c:pt>
                <c:pt idx="45">
                  <c:v>203.86247800000001</c:v>
                </c:pt>
                <c:pt idx="46">
                  <c:v>194.27258300000003</c:v>
                </c:pt>
                <c:pt idx="47">
                  <c:v>151.60473499999998</c:v>
                </c:pt>
                <c:pt idx="48">
                  <c:v>194.51468600000001</c:v>
                </c:pt>
                <c:pt idx="49">
                  <c:v>184.63639000000001</c:v>
                </c:pt>
                <c:pt idx="50">
                  <c:v>174.48697399999998</c:v>
                </c:pt>
                <c:pt idx="51">
                  <c:v>195.17292699999999</c:v>
                </c:pt>
                <c:pt idx="52">
                  <c:v>196.96767700000001</c:v>
                </c:pt>
                <c:pt idx="53">
                  <c:v>195.58769699999999</c:v>
                </c:pt>
                <c:pt idx="54">
                  <c:v>194.10183599999999</c:v>
                </c:pt>
                <c:pt idx="55">
                  <c:v>188.18512100000001</c:v>
                </c:pt>
                <c:pt idx="56">
                  <c:v>185.64965900000001</c:v>
                </c:pt>
                <c:pt idx="57">
                  <c:v>164.67664500000001</c:v>
                </c:pt>
                <c:pt idx="58">
                  <c:v>121.90305499999999</c:v>
                </c:pt>
                <c:pt idx="59">
                  <c:v>168.957615</c:v>
                </c:pt>
                <c:pt idx="60">
                  <c:v>191.12423899999999</c:v>
                </c:pt>
                <c:pt idx="61">
                  <c:v>196.11937300000002</c:v>
                </c:pt>
                <c:pt idx="62">
                  <c:v>188.98823899999999</c:v>
                </c:pt>
                <c:pt idx="63">
                  <c:v>190.47813199999999</c:v>
                </c:pt>
                <c:pt idx="64">
                  <c:v>188.98171899999997</c:v>
                </c:pt>
                <c:pt idx="65">
                  <c:v>189.37079</c:v>
                </c:pt>
                <c:pt idx="66">
                  <c:v>188.47948499999998</c:v>
                </c:pt>
                <c:pt idx="67">
                  <c:v>188.309899</c:v>
                </c:pt>
                <c:pt idx="68">
                  <c:v>189.579992</c:v>
                </c:pt>
                <c:pt idx="69">
                  <c:v>187.39336799999998</c:v>
                </c:pt>
                <c:pt idx="70">
                  <c:v>175.079285</c:v>
                </c:pt>
                <c:pt idx="71">
                  <c:v>164.71506200000002</c:v>
                </c:pt>
                <c:pt idx="72">
                  <c:v>182.866716</c:v>
                </c:pt>
                <c:pt idx="73">
                  <c:v>145.14749899999998</c:v>
                </c:pt>
                <c:pt idx="74">
                  <c:v>164.38659600000003</c:v>
                </c:pt>
                <c:pt idx="75">
                  <c:v>169.91611600000002</c:v>
                </c:pt>
                <c:pt idx="76">
                  <c:v>184.19095299999998</c:v>
                </c:pt>
                <c:pt idx="77">
                  <c:v>181.32051999999999</c:v>
                </c:pt>
                <c:pt idx="78">
                  <c:v>171.19280000000001</c:v>
                </c:pt>
                <c:pt idx="79">
                  <c:v>182.97993100000002</c:v>
                </c:pt>
                <c:pt idx="80">
                  <c:v>174.32943399999999</c:v>
                </c:pt>
                <c:pt idx="81">
                  <c:v>162.15605600000001</c:v>
                </c:pt>
                <c:pt idx="82">
                  <c:v>169.56846200000001</c:v>
                </c:pt>
                <c:pt idx="83">
                  <c:v>170.49988399999998</c:v>
                </c:pt>
                <c:pt idx="84">
                  <c:v>161.41380299999997</c:v>
                </c:pt>
                <c:pt idx="85">
                  <c:v>135.528899</c:v>
                </c:pt>
                <c:pt idx="86">
                  <c:v>164.40447</c:v>
                </c:pt>
                <c:pt idx="87">
                  <c:v>168.75790499999999</c:v>
                </c:pt>
                <c:pt idx="88">
                  <c:v>164.65436700000001</c:v>
                </c:pt>
                <c:pt idx="89">
                  <c:v>129.18781100000001</c:v>
                </c:pt>
                <c:pt idx="90">
                  <c:v>141.19395699999998</c:v>
                </c:pt>
                <c:pt idx="91">
                  <c:v>124.820413</c:v>
                </c:pt>
                <c:pt idx="92">
                  <c:v>147.09208899999999</c:v>
                </c:pt>
                <c:pt idx="93">
                  <c:v>154.875821</c:v>
                </c:pt>
                <c:pt idx="94">
                  <c:v>152.22384700000001</c:v>
                </c:pt>
                <c:pt idx="95">
                  <c:v>154.39799200000002</c:v>
                </c:pt>
                <c:pt idx="96">
                  <c:v>152.64863500000001</c:v>
                </c:pt>
                <c:pt idx="97">
                  <c:v>172.492266</c:v>
                </c:pt>
                <c:pt idx="98">
                  <c:v>147.21313199999997</c:v>
                </c:pt>
                <c:pt idx="99">
                  <c:v>150.484036</c:v>
                </c:pt>
                <c:pt idx="100">
                  <c:v>178.53101699999999</c:v>
                </c:pt>
                <c:pt idx="101">
                  <c:v>169.755436</c:v>
                </c:pt>
                <c:pt idx="102">
                  <c:v>160.405428</c:v>
                </c:pt>
                <c:pt idx="103">
                  <c:v>150.056736</c:v>
                </c:pt>
                <c:pt idx="104">
                  <c:v>150.11576099999999</c:v>
                </c:pt>
                <c:pt idx="105">
                  <c:v>151.54077600000002</c:v>
                </c:pt>
                <c:pt idx="106">
                  <c:v>134.64170300000001</c:v>
                </c:pt>
                <c:pt idx="107">
                  <c:v>156.75048899999999</c:v>
                </c:pt>
                <c:pt idx="108">
                  <c:v>142.309403</c:v>
                </c:pt>
                <c:pt idx="109">
                  <c:v>129.33869899999999</c:v>
                </c:pt>
                <c:pt idx="110">
                  <c:v>93.914507</c:v>
                </c:pt>
                <c:pt idx="111">
                  <c:v>101.186432</c:v>
                </c:pt>
                <c:pt idx="112">
                  <c:v>96.45611199999999</c:v>
                </c:pt>
                <c:pt idx="113">
                  <c:v>120.73844800000001</c:v>
                </c:pt>
                <c:pt idx="114">
                  <c:v>141.30880300000001</c:v>
                </c:pt>
                <c:pt idx="115">
                  <c:v>91.882216999999997</c:v>
                </c:pt>
                <c:pt idx="116">
                  <c:v>83.148853000000003</c:v>
                </c:pt>
                <c:pt idx="117">
                  <c:v>97.209322999999998</c:v>
                </c:pt>
                <c:pt idx="118">
                  <c:v>128.791965</c:v>
                </c:pt>
                <c:pt idx="119">
                  <c:v>137.79656299999999</c:v>
                </c:pt>
                <c:pt idx="120">
                  <c:v>126.725829</c:v>
                </c:pt>
                <c:pt idx="121">
                  <c:v>154.64047299999999</c:v>
                </c:pt>
                <c:pt idx="122">
                  <c:v>133.330263</c:v>
                </c:pt>
                <c:pt idx="123">
                  <c:v>93.016408999999996</c:v>
                </c:pt>
                <c:pt idx="124">
                  <c:v>129.42252100000002</c:v>
                </c:pt>
                <c:pt idx="125">
                  <c:v>136.18094200000002</c:v>
                </c:pt>
                <c:pt idx="126">
                  <c:v>116.09362399999999</c:v>
                </c:pt>
                <c:pt idx="127">
                  <c:v>92.346328999999997</c:v>
                </c:pt>
                <c:pt idx="128">
                  <c:v>59.652215000000005</c:v>
                </c:pt>
                <c:pt idx="129">
                  <c:v>83.341712999999984</c:v>
                </c:pt>
                <c:pt idx="130">
                  <c:v>63.042383000000001</c:v>
                </c:pt>
                <c:pt idx="131">
                  <c:v>120.56906599999999</c:v>
                </c:pt>
                <c:pt idx="132">
                  <c:v>77.722634999999997</c:v>
                </c:pt>
                <c:pt idx="133">
                  <c:v>41.631908000000003</c:v>
                </c:pt>
                <c:pt idx="134">
                  <c:v>86.009043999999989</c:v>
                </c:pt>
                <c:pt idx="135">
                  <c:v>64.959205999999995</c:v>
                </c:pt>
                <c:pt idx="136">
                  <c:v>50.144590999999998</c:v>
                </c:pt>
                <c:pt idx="137">
                  <c:v>82.845259999999996</c:v>
                </c:pt>
                <c:pt idx="138">
                  <c:v>89.803062999999995</c:v>
                </c:pt>
                <c:pt idx="139">
                  <c:v>104.7812</c:v>
                </c:pt>
                <c:pt idx="140">
                  <c:v>94.70262799999999</c:v>
                </c:pt>
                <c:pt idx="141">
                  <c:v>100.487359</c:v>
                </c:pt>
                <c:pt idx="142">
                  <c:v>128.94323600000001</c:v>
                </c:pt>
                <c:pt idx="143">
                  <c:v>111.003198</c:v>
                </c:pt>
                <c:pt idx="144">
                  <c:v>112.990899</c:v>
                </c:pt>
                <c:pt idx="145">
                  <c:v>105.980238</c:v>
                </c:pt>
                <c:pt idx="146">
                  <c:v>67.088178999999997</c:v>
                </c:pt>
                <c:pt idx="147">
                  <c:v>72.510208000000006</c:v>
                </c:pt>
                <c:pt idx="148">
                  <c:v>74.548693999999998</c:v>
                </c:pt>
                <c:pt idx="149">
                  <c:v>93.92407</c:v>
                </c:pt>
                <c:pt idx="150">
                  <c:v>33.265422999999998</c:v>
                </c:pt>
                <c:pt idx="151">
                  <c:v>57.110762999999999</c:v>
                </c:pt>
                <c:pt idx="152">
                  <c:v>54.483849999999997</c:v>
                </c:pt>
                <c:pt idx="153">
                  <c:v>74.466177999999999</c:v>
                </c:pt>
                <c:pt idx="154">
                  <c:v>98.563636000000002</c:v>
                </c:pt>
                <c:pt idx="155">
                  <c:v>93.970578000000003</c:v>
                </c:pt>
                <c:pt idx="156">
                  <c:v>81.866806999999994</c:v>
                </c:pt>
                <c:pt idx="157">
                  <c:v>89.904982999999987</c:v>
                </c:pt>
                <c:pt idx="158">
                  <c:v>109.862454</c:v>
                </c:pt>
                <c:pt idx="159">
                  <c:v>100.38225800000001</c:v>
                </c:pt>
                <c:pt idx="160">
                  <c:v>50.916232000000001</c:v>
                </c:pt>
                <c:pt idx="161">
                  <c:v>78.314505999999994</c:v>
                </c:pt>
                <c:pt idx="162">
                  <c:v>97.85316499999999</c:v>
                </c:pt>
                <c:pt idx="163">
                  <c:v>99.835943</c:v>
                </c:pt>
                <c:pt idx="164">
                  <c:v>94.795468</c:v>
                </c:pt>
                <c:pt idx="165">
                  <c:v>39.932923000000002</c:v>
                </c:pt>
                <c:pt idx="166">
                  <c:v>41.226576999999999</c:v>
                </c:pt>
                <c:pt idx="167">
                  <c:v>62.788205999999995</c:v>
                </c:pt>
                <c:pt idx="168">
                  <c:v>66.986218999999991</c:v>
                </c:pt>
                <c:pt idx="169">
                  <c:v>67.113129000000001</c:v>
                </c:pt>
                <c:pt idx="170">
                  <c:v>89.205157999999997</c:v>
                </c:pt>
                <c:pt idx="171">
                  <c:v>74.871026999999998</c:v>
                </c:pt>
                <c:pt idx="172">
                  <c:v>84.846082999999993</c:v>
                </c:pt>
                <c:pt idx="173">
                  <c:v>42.338537000000002</c:v>
                </c:pt>
                <c:pt idx="174">
                  <c:v>58.361740999999995</c:v>
                </c:pt>
                <c:pt idx="175">
                  <c:v>80.723516000000004</c:v>
                </c:pt>
                <c:pt idx="176">
                  <c:v>51.90925</c:v>
                </c:pt>
                <c:pt idx="177">
                  <c:v>55.430270999999998</c:v>
                </c:pt>
                <c:pt idx="178">
                  <c:v>64.251201999999992</c:v>
                </c:pt>
                <c:pt idx="179">
                  <c:v>93.229678000000007</c:v>
                </c:pt>
                <c:pt idx="180">
                  <c:v>87.406096999999988</c:v>
                </c:pt>
                <c:pt idx="181">
                  <c:v>69.153275999999991</c:v>
                </c:pt>
                <c:pt idx="182">
                  <c:v>80.821982000000006</c:v>
                </c:pt>
                <c:pt idx="183">
                  <c:v>50.342654000000003</c:v>
                </c:pt>
                <c:pt idx="184">
                  <c:v>57.007607999999998</c:v>
                </c:pt>
                <c:pt idx="185">
                  <c:v>60.962364999999998</c:v>
                </c:pt>
                <c:pt idx="186">
                  <c:v>77.724840999999998</c:v>
                </c:pt>
                <c:pt idx="187">
                  <c:v>85.409227000000001</c:v>
                </c:pt>
                <c:pt idx="188">
                  <c:v>79.75458900000001</c:v>
                </c:pt>
                <c:pt idx="189">
                  <c:v>71.923387000000005</c:v>
                </c:pt>
                <c:pt idx="190">
                  <c:v>80.529674999999997</c:v>
                </c:pt>
                <c:pt idx="191">
                  <c:v>89.168153000000004</c:v>
                </c:pt>
                <c:pt idx="192">
                  <c:v>92.365225999999993</c:v>
                </c:pt>
                <c:pt idx="193">
                  <c:v>62.689135</c:v>
                </c:pt>
                <c:pt idx="194">
                  <c:v>54.744125999999994</c:v>
                </c:pt>
                <c:pt idx="195">
                  <c:v>70.486809999999991</c:v>
                </c:pt>
                <c:pt idx="196">
                  <c:v>78.006089000000003</c:v>
                </c:pt>
                <c:pt idx="197">
                  <c:v>85.128867</c:v>
                </c:pt>
                <c:pt idx="198">
                  <c:v>95.131668999999988</c:v>
                </c:pt>
                <c:pt idx="199">
                  <c:v>73.860073</c:v>
                </c:pt>
                <c:pt idx="200">
                  <c:v>69.193577999999988</c:v>
                </c:pt>
                <c:pt idx="201">
                  <c:v>47.207433999999999</c:v>
                </c:pt>
                <c:pt idx="202">
                  <c:v>87.948316999999989</c:v>
                </c:pt>
                <c:pt idx="203">
                  <c:v>95.664479999999998</c:v>
                </c:pt>
                <c:pt idx="204">
                  <c:v>97.219092000000003</c:v>
                </c:pt>
                <c:pt idx="205">
                  <c:v>91.721535999999986</c:v>
                </c:pt>
                <c:pt idx="206">
                  <c:v>93.944281000000004</c:v>
                </c:pt>
                <c:pt idx="207">
                  <c:v>95.59514200000001</c:v>
                </c:pt>
                <c:pt idx="208">
                  <c:v>81.732392000000004</c:v>
                </c:pt>
                <c:pt idx="209">
                  <c:v>84.997551999999999</c:v>
                </c:pt>
                <c:pt idx="210">
                  <c:v>86.008907999999991</c:v>
                </c:pt>
                <c:pt idx="211">
                  <c:v>83.658262000000008</c:v>
                </c:pt>
                <c:pt idx="212">
                  <c:v>85.196237999999994</c:v>
                </c:pt>
                <c:pt idx="213">
                  <c:v>76.263199999999998</c:v>
                </c:pt>
                <c:pt idx="214">
                  <c:v>77.068251000000004</c:v>
                </c:pt>
                <c:pt idx="215">
                  <c:v>90.994359000000003</c:v>
                </c:pt>
                <c:pt idx="216">
                  <c:v>73.33421899999999</c:v>
                </c:pt>
                <c:pt idx="217">
                  <c:v>67.995000000000005</c:v>
                </c:pt>
                <c:pt idx="218">
                  <c:v>38.230311999999998</c:v>
                </c:pt>
                <c:pt idx="219">
                  <c:v>57.564029000000005</c:v>
                </c:pt>
                <c:pt idx="220">
                  <c:v>73.159034000000005</c:v>
                </c:pt>
                <c:pt idx="221">
                  <c:v>56.939137000000002</c:v>
                </c:pt>
                <c:pt idx="222">
                  <c:v>71.211937999999989</c:v>
                </c:pt>
                <c:pt idx="223">
                  <c:v>59.269631000000004</c:v>
                </c:pt>
                <c:pt idx="224">
                  <c:v>57.422787</c:v>
                </c:pt>
                <c:pt idx="225">
                  <c:v>87.426428000000001</c:v>
                </c:pt>
                <c:pt idx="226">
                  <c:v>110.02188000000001</c:v>
                </c:pt>
                <c:pt idx="227">
                  <c:v>113.38599400000001</c:v>
                </c:pt>
                <c:pt idx="228">
                  <c:v>113.067291</c:v>
                </c:pt>
                <c:pt idx="229">
                  <c:v>103.141784</c:v>
                </c:pt>
                <c:pt idx="230">
                  <c:v>100.807782</c:v>
                </c:pt>
                <c:pt idx="231">
                  <c:v>115.248152</c:v>
                </c:pt>
                <c:pt idx="232">
                  <c:v>97.667756999999995</c:v>
                </c:pt>
                <c:pt idx="233">
                  <c:v>26.655028999999999</c:v>
                </c:pt>
                <c:pt idx="234">
                  <c:v>32.589661</c:v>
                </c:pt>
                <c:pt idx="235">
                  <c:v>45.809493000000003</c:v>
                </c:pt>
                <c:pt idx="236">
                  <c:v>69.363523000000001</c:v>
                </c:pt>
                <c:pt idx="237">
                  <c:v>62.949872999999997</c:v>
                </c:pt>
                <c:pt idx="238">
                  <c:v>47.528025</c:v>
                </c:pt>
                <c:pt idx="239">
                  <c:v>41.385731</c:v>
                </c:pt>
                <c:pt idx="240">
                  <c:v>47.163074000000002</c:v>
                </c:pt>
                <c:pt idx="241">
                  <c:v>73.550073999999995</c:v>
                </c:pt>
                <c:pt idx="242">
                  <c:v>33.501505999999999</c:v>
                </c:pt>
                <c:pt idx="243">
                  <c:v>90.723089999999999</c:v>
                </c:pt>
                <c:pt idx="244">
                  <c:v>122.06198199999999</c:v>
                </c:pt>
                <c:pt idx="245">
                  <c:v>113.19203400000001</c:v>
                </c:pt>
                <c:pt idx="246">
                  <c:v>81.617047999999997</c:v>
                </c:pt>
                <c:pt idx="247">
                  <c:v>105.36175299999999</c:v>
                </c:pt>
                <c:pt idx="248">
                  <c:v>126.665806</c:v>
                </c:pt>
                <c:pt idx="249">
                  <c:v>135.84129000000001</c:v>
                </c:pt>
                <c:pt idx="250">
                  <c:v>138.42690599999997</c:v>
                </c:pt>
                <c:pt idx="251">
                  <c:v>84.064771999999991</c:v>
                </c:pt>
                <c:pt idx="252">
                  <c:v>119.45000900000001</c:v>
                </c:pt>
                <c:pt idx="253">
                  <c:v>117.61328</c:v>
                </c:pt>
                <c:pt idx="254">
                  <c:v>89.395330000000001</c:v>
                </c:pt>
                <c:pt idx="255">
                  <c:v>88.297251999999986</c:v>
                </c:pt>
                <c:pt idx="256">
                  <c:v>101.45506900000001</c:v>
                </c:pt>
                <c:pt idx="257">
                  <c:v>133.32131899999999</c:v>
                </c:pt>
                <c:pt idx="258">
                  <c:v>137.80603500000001</c:v>
                </c:pt>
                <c:pt idx="259">
                  <c:v>108.93982200000001</c:v>
                </c:pt>
                <c:pt idx="260">
                  <c:v>127.567578</c:v>
                </c:pt>
                <c:pt idx="261">
                  <c:v>119.12442200000001</c:v>
                </c:pt>
                <c:pt idx="262">
                  <c:v>86.21818300000001</c:v>
                </c:pt>
                <c:pt idx="263">
                  <c:v>111.382293</c:v>
                </c:pt>
                <c:pt idx="264">
                  <c:v>135.50178</c:v>
                </c:pt>
                <c:pt idx="265">
                  <c:v>77.587505000000007</c:v>
                </c:pt>
                <c:pt idx="266">
                  <c:v>100.87310099999999</c:v>
                </c:pt>
                <c:pt idx="267">
                  <c:v>143.67226099999999</c:v>
                </c:pt>
                <c:pt idx="268">
                  <c:v>123.26893700000001</c:v>
                </c:pt>
                <c:pt idx="269">
                  <c:v>82.490465</c:v>
                </c:pt>
                <c:pt idx="270">
                  <c:v>151.129234</c:v>
                </c:pt>
                <c:pt idx="271">
                  <c:v>112.52909600000001</c:v>
                </c:pt>
                <c:pt idx="272">
                  <c:v>88.048738</c:v>
                </c:pt>
                <c:pt idx="273">
                  <c:v>61.805408</c:v>
                </c:pt>
                <c:pt idx="274">
                  <c:v>40.892375000000001</c:v>
                </c:pt>
                <c:pt idx="275">
                  <c:v>58.281362000000001</c:v>
                </c:pt>
                <c:pt idx="276">
                  <c:v>84.574604999999991</c:v>
                </c:pt>
                <c:pt idx="277">
                  <c:v>60.374578</c:v>
                </c:pt>
                <c:pt idx="278">
                  <c:v>83.60669</c:v>
                </c:pt>
                <c:pt idx="279">
                  <c:v>62.758946000000002</c:v>
                </c:pt>
                <c:pt idx="280">
                  <c:v>54.144190999999999</c:v>
                </c:pt>
                <c:pt idx="281">
                  <c:v>98.322231000000002</c:v>
                </c:pt>
                <c:pt idx="282">
                  <c:v>90.729952999999995</c:v>
                </c:pt>
                <c:pt idx="283">
                  <c:v>98.638045000000005</c:v>
                </c:pt>
                <c:pt idx="284">
                  <c:v>93.628560999999991</c:v>
                </c:pt>
                <c:pt idx="285">
                  <c:v>66.422049999999999</c:v>
                </c:pt>
                <c:pt idx="286">
                  <c:v>107.999302</c:v>
                </c:pt>
                <c:pt idx="287">
                  <c:v>137.73954000000001</c:v>
                </c:pt>
                <c:pt idx="288">
                  <c:v>108.98410500000001</c:v>
                </c:pt>
                <c:pt idx="289">
                  <c:v>75.564635999999993</c:v>
                </c:pt>
                <c:pt idx="290">
                  <c:v>78.607607000000002</c:v>
                </c:pt>
                <c:pt idx="291">
                  <c:v>113.01438499999999</c:v>
                </c:pt>
                <c:pt idx="292">
                  <c:v>85.064345999999986</c:v>
                </c:pt>
                <c:pt idx="293">
                  <c:v>83.309352000000004</c:v>
                </c:pt>
                <c:pt idx="294">
                  <c:v>90.464739999999992</c:v>
                </c:pt>
                <c:pt idx="295">
                  <c:v>107.38733900000001</c:v>
                </c:pt>
                <c:pt idx="296">
                  <c:v>147.560711</c:v>
                </c:pt>
                <c:pt idx="297">
                  <c:v>139.02426</c:v>
                </c:pt>
                <c:pt idx="298">
                  <c:v>147.69482399999998</c:v>
                </c:pt>
                <c:pt idx="299">
                  <c:v>147.946696</c:v>
                </c:pt>
                <c:pt idx="300">
                  <c:v>139.45735199999999</c:v>
                </c:pt>
                <c:pt idx="301">
                  <c:v>133.89215799999999</c:v>
                </c:pt>
                <c:pt idx="302">
                  <c:v>123.232653</c:v>
                </c:pt>
                <c:pt idx="303">
                  <c:v>151.916087</c:v>
                </c:pt>
                <c:pt idx="304">
                  <c:v>140.031375</c:v>
                </c:pt>
                <c:pt idx="305">
                  <c:v>106.77836300000001</c:v>
                </c:pt>
                <c:pt idx="306">
                  <c:v>79.643226999999996</c:v>
                </c:pt>
                <c:pt idx="307">
                  <c:v>103.53371000000001</c:v>
                </c:pt>
                <c:pt idx="308">
                  <c:v>126.52794400000001</c:v>
                </c:pt>
                <c:pt idx="309">
                  <c:v>118.51524499999999</c:v>
                </c:pt>
                <c:pt idx="310">
                  <c:v>181.381452</c:v>
                </c:pt>
                <c:pt idx="311">
                  <c:v>165.84166500000001</c:v>
                </c:pt>
                <c:pt idx="312">
                  <c:v>169.94445999999999</c:v>
                </c:pt>
                <c:pt idx="313">
                  <c:v>138.443555</c:v>
                </c:pt>
                <c:pt idx="314">
                  <c:v>94.643987999999993</c:v>
                </c:pt>
                <c:pt idx="315">
                  <c:v>89.034120999999999</c:v>
                </c:pt>
                <c:pt idx="316">
                  <c:v>124.79208100000001</c:v>
                </c:pt>
                <c:pt idx="317">
                  <c:v>111.522554</c:v>
                </c:pt>
                <c:pt idx="318">
                  <c:v>138.24814600000002</c:v>
                </c:pt>
                <c:pt idx="319">
                  <c:v>149.19416000000001</c:v>
                </c:pt>
                <c:pt idx="320">
                  <c:v>153.746441</c:v>
                </c:pt>
                <c:pt idx="321">
                  <c:v>114.33897899999999</c:v>
                </c:pt>
                <c:pt idx="322">
                  <c:v>112.476477</c:v>
                </c:pt>
                <c:pt idx="323">
                  <c:v>117.89612200000001</c:v>
                </c:pt>
                <c:pt idx="324">
                  <c:v>173.946887</c:v>
                </c:pt>
                <c:pt idx="325">
                  <c:v>164.89289099999999</c:v>
                </c:pt>
                <c:pt idx="326">
                  <c:v>207.88761799999997</c:v>
                </c:pt>
                <c:pt idx="327">
                  <c:v>198.83125499999997</c:v>
                </c:pt>
                <c:pt idx="328">
                  <c:v>188.343198</c:v>
                </c:pt>
                <c:pt idx="329">
                  <c:v>163.694422</c:v>
                </c:pt>
                <c:pt idx="330">
                  <c:v>132.01218299999999</c:v>
                </c:pt>
                <c:pt idx="331">
                  <c:v>70.725413999999986</c:v>
                </c:pt>
                <c:pt idx="332">
                  <c:v>89.865460999999996</c:v>
                </c:pt>
                <c:pt idx="333">
                  <c:v>104.69134600000001</c:v>
                </c:pt>
                <c:pt idx="334">
                  <c:v>116.21073200000001</c:v>
                </c:pt>
                <c:pt idx="335">
                  <c:v>101.071519</c:v>
                </c:pt>
                <c:pt idx="336">
                  <c:v>135.347138</c:v>
                </c:pt>
                <c:pt idx="337">
                  <c:v>112.69158</c:v>
                </c:pt>
                <c:pt idx="338">
                  <c:v>120.254164</c:v>
                </c:pt>
                <c:pt idx="339">
                  <c:v>134.96149600000001</c:v>
                </c:pt>
                <c:pt idx="340">
                  <c:v>166.02542</c:v>
                </c:pt>
                <c:pt idx="341">
                  <c:v>129.28512700000002</c:v>
                </c:pt>
                <c:pt idx="342">
                  <c:v>147.17215899999999</c:v>
                </c:pt>
                <c:pt idx="343">
                  <c:v>112.27607300000001</c:v>
                </c:pt>
                <c:pt idx="344">
                  <c:v>115.928543</c:v>
                </c:pt>
                <c:pt idx="345">
                  <c:v>162.74789999999999</c:v>
                </c:pt>
                <c:pt idx="346">
                  <c:v>152.26761300000001</c:v>
                </c:pt>
                <c:pt idx="347">
                  <c:v>158.779055</c:v>
                </c:pt>
                <c:pt idx="348">
                  <c:v>140.09709899999999</c:v>
                </c:pt>
                <c:pt idx="349">
                  <c:v>159.700525</c:v>
                </c:pt>
                <c:pt idx="350">
                  <c:v>156.33715700000002</c:v>
                </c:pt>
                <c:pt idx="351">
                  <c:v>144.53871799999999</c:v>
                </c:pt>
                <c:pt idx="352">
                  <c:v>164.27650400000002</c:v>
                </c:pt>
                <c:pt idx="353">
                  <c:v>176.20863</c:v>
                </c:pt>
                <c:pt idx="354">
                  <c:v>196.98635099999998</c:v>
                </c:pt>
                <c:pt idx="355">
                  <c:v>173.254705</c:v>
                </c:pt>
                <c:pt idx="356">
                  <c:v>175.05173099999999</c:v>
                </c:pt>
                <c:pt idx="357">
                  <c:v>168.45440900000003</c:v>
                </c:pt>
                <c:pt idx="358">
                  <c:v>153.430362</c:v>
                </c:pt>
                <c:pt idx="359">
                  <c:v>211.74238500000001</c:v>
                </c:pt>
                <c:pt idx="360">
                  <c:v>209.22145900000001</c:v>
                </c:pt>
                <c:pt idx="361">
                  <c:v>203.704758</c:v>
                </c:pt>
                <c:pt idx="362">
                  <c:v>207.67781699999998</c:v>
                </c:pt>
                <c:pt idx="363">
                  <c:v>192.39495399999998</c:v>
                </c:pt>
                <c:pt idx="364">
                  <c:v>176.35852700000001</c:v>
                </c:pt>
                <c:pt idx="365">
                  <c:v>147.94033999999999</c:v>
                </c:pt>
                <c:pt idx="366">
                  <c:v>178.07417999999998</c:v>
                </c:pt>
                <c:pt idx="367">
                  <c:v>158.24366800000001</c:v>
                </c:pt>
                <c:pt idx="368">
                  <c:v>210.23818199999999</c:v>
                </c:pt>
                <c:pt idx="369">
                  <c:v>222.155779</c:v>
                </c:pt>
                <c:pt idx="370">
                  <c:v>231.74080900000001</c:v>
                </c:pt>
                <c:pt idx="371">
                  <c:v>197.18569099999999</c:v>
                </c:pt>
                <c:pt idx="372">
                  <c:v>168.514453</c:v>
                </c:pt>
                <c:pt idx="373">
                  <c:v>192.91655499999999</c:v>
                </c:pt>
                <c:pt idx="374">
                  <c:v>165.01333399999999</c:v>
                </c:pt>
                <c:pt idx="375">
                  <c:v>174.78965899999997</c:v>
                </c:pt>
                <c:pt idx="376">
                  <c:v>222.502464</c:v>
                </c:pt>
                <c:pt idx="377">
                  <c:v>216.23995199999999</c:v>
                </c:pt>
                <c:pt idx="378">
                  <c:v>196.15393700000001</c:v>
                </c:pt>
                <c:pt idx="379">
                  <c:v>172.82650900000002</c:v>
                </c:pt>
                <c:pt idx="380">
                  <c:v>217.81900499999998</c:v>
                </c:pt>
                <c:pt idx="381">
                  <c:v>216.87262699999999</c:v>
                </c:pt>
                <c:pt idx="382">
                  <c:v>218.50623899999999</c:v>
                </c:pt>
                <c:pt idx="383">
                  <c:v>186.247298</c:v>
                </c:pt>
                <c:pt idx="384">
                  <c:v>225.09245799999999</c:v>
                </c:pt>
                <c:pt idx="385">
                  <c:v>213.15478899999999</c:v>
                </c:pt>
                <c:pt idx="386">
                  <c:v>183.15809300000004</c:v>
                </c:pt>
                <c:pt idx="387">
                  <c:v>192.96741700000001</c:v>
                </c:pt>
                <c:pt idx="388">
                  <c:v>178.90685200000001</c:v>
                </c:pt>
                <c:pt idx="389">
                  <c:v>234.19725099999999</c:v>
                </c:pt>
                <c:pt idx="390">
                  <c:v>248.15229500000001</c:v>
                </c:pt>
                <c:pt idx="391">
                  <c:v>246.62666400000001</c:v>
                </c:pt>
                <c:pt idx="392">
                  <c:v>228.95788499999998</c:v>
                </c:pt>
                <c:pt idx="393">
                  <c:v>211.918543</c:v>
                </c:pt>
                <c:pt idx="394">
                  <c:v>206.99128399999998</c:v>
                </c:pt>
                <c:pt idx="395">
                  <c:v>221.75057899999999</c:v>
                </c:pt>
                <c:pt idx="396">
                  <c:v>213.68207100000001</c:v>
                </c:pt>
                <c:pt idx="397">
                  <c:v>213.91355999999999</c:v>
                </c:pt>
                <c:pt idx="398">
                  <c:v>208.03401499999998</c:v>
                </c:pt>
                <c:pt idx="399">
                  <c:v>205.76929100000001</c:v>
                </c:pt>
                <c:pt idx="400">
                  <c:v>199.92443600000001</c:v>
                </c:pt>
                <c:pt idx="401">
                  <c:v>233.50706500000001</c:v>
                </c:pt>
                <c:pt idx="402">
                  <c:v>213.21140899999997</c:v>
                </c:pt>
                <c:pt idx="403">
                  <c:v>199.85562100000001</c:v>
                </c:pt>
                <c:pt idx="404">
                  <c:v>220.94046299999999</c:v>
                </c:pt>
                <c:pt idx="405">
                  <c:v>210.11756199999996</c:v>
                </c:pt>
                <c:pt idx="406">
                  <c:v>173.44013999999999</c:v>
                </c:pt>
                <c:pt idx="407">
                  <c:v>224.31830499999998</c:v>
                </c:pt>
                <c:pt idx="408">
                  <c:v>246.69759400000001</c:v>
                </c:pt>
                <c:pt idx="409">
                  <c:v>234.97137899999998</c:v>
                </c:pt>
                <c:pt idx="410">
                  <c:v>241.10256099999998</c:v>
                </c:pt>
                <c:pt idx="411">
                  <c:v>219.89296200000001</c:v>
                </c:pt>
                <c:pt idx="412">
                  <c:v>211.86495799999997</c:v>
                </c:pt>
                <c:pt idx="413">
                  <c:v>188.49860899999999</c:v>
                </c:pt>
                <c:pt idx="414">
                  <c:v>166.53758200000001</c:v>
                </c:pt>
                <c:pt idx="415">
                  <c:v>234.42409099999998</c:v>
                </c:pt>
                <c:pt idx="416">
                  <c:v>219.469977</c:v>
                </c:pt>
                <c:pt idx="417">
                  <c:v>173.66948700000003</c:v>
                </c:pt>
                <c:pt idx="418">
                  <c:v>180.28992600000001</c:v>
                </c:pt>
                <c:pt idx="419">
                  <c:v>195.62984499999999</c:v>
                </c:pt>
                <c:pt idx="420">
                  <c:v>199.67267700000002</c:v>
                </c:pt>
                <c:pt idx="421">
                  <c:v>181.35949000000002</c:v>
                </c:pt>
                <c:pt idx="422">
                  <c:v>197.95125799999997</c:v>
                </c:pt>
                <c:pt idx="423">
                  <c:v>181.14196500000003</c:v>
                </c:pt>
                <c:pt idx="424">
                  <c:v>198.73182</c:v>
                </c:pt>
                <c:pt idx="425">
                  <c:v>206.078543</c:v>
                </c:pt>
                <c:pt idx="426">
                  <c:v>192.73982500000002</c:v>
                </c:pt>
                <c:pt idx="427">
                  <c:v>192.85735499999998</c:v>
                </c:pt>
                <c:pt idx="428">
                  <c:v>173.80855499999998</c:v>
                </c:pt>
                <c:pt idx="429">
                  <c:v>216.08949200000001</c:v>
                </c:pt>
                <c:pt idx="430">
                  <c:v>198.616863</c:v>
                </c:pt>
                <c:pt idx="431">
                  <c:v>208.64136899999997</c:v>
                </c:pt>
                <c:pt idx="432">
                  <c:v>225.661993</c:v>
                </c:pt>
                <c:pt idx="433">
                  <c:v>206.69524299999998</c:v>
                </c:pt>
                <c:pt idx="434">
                  <c:v>203.42588899999998</c:v>
                </c:pt>
                <c:pt idx="435">
                  <c:v>181.830702</c:v>
                </c:pt>
                <c:pt idx="436">
                  <c:v>217.90969000000001</c:v>
                </c:pt>
                <c:pt idx="437">
                  <c:v>183.32151199999998</c:v>
                </c:pt>
                <c:pt idx="438">
                  <c:v>176.47239999999999</c:v>
                </c:pt>
                <c:pt idx="439">
                  <c:v>191.79707500000001</c:v>
                </c:pt>
                <c:pt idx="440">
                  <c:v>211.56767300000001</c:v>
                </c:pt>
                <c:pt idx="441">
                  <c:v>198.77954199999999</c:v>
                </c:pt>
                <c:pt idx="442">
                  <c:v>180.096622</c:v>
                </c:pt>
                <c:pt idx="443">
                  <c:v>146.56738099999998</c:v>
                </c:pt>
                <c:pt idx="444">
                  <c:v>184.230538</c:v>
                </c:pt>
                <c:pt idx="445">
                  <c:v>177.20656699999998</c:v>
                </c:pt>
                <c:pt idx="446">
                  <c:v>196.76837700000002</c:v>
                </c:pt>
                <c:pt idx="447">
                  <c:v>191.248976</c:v>
                </c:pt>
                <c:pt idx="448">
                  <c:v>197.11709299999998</c:v>
                </c:pt>
                <c:pt idx="449">
                  <c:v>164.38130699999999</c:v>
                </c:pt>
                <c:pt idx="450">
                  <c:v>168.43367900000001</c:v>
                </c:pt>
                <c:pt idx="451">
                  <c:v>173.51446600000003</c:v>
                </c:pt>
                <c:pt idx="452">
                  <c:v>176.607392</c:v>
                </c:pt>
                <c:pt idx="453">
                  <c:v>172.36410799999999</c:v>
                </c:pt>
                <c:pt idx="454">
                  <c:v>164.84451700000002</c:v>
                </c:pt>
                <c:pt idx="455">
                  <c:v>186.429644</c:v>
                </c:pt>
                <c:pt idx="456">
                  <c:v>139.358261</c:v>
                </c:pt>
                <c:pt idx="457">
                  <c:v>181.31371600000003</c:v>
                </c:pt>
                <c:pt idx="458">
                  <c:v>176.54945699999999</c:v>
                </c:pt>
                <c:pt idx="459">
                  <c:v>184.89145799999997</c:v>
                </c:pt>
                <c:pt idx="460">
                  <c:v>194.583315</c:v>
                </c:pt>
                <c:pt idx="461">
                  <c:v>181.95310499999999</c:v>
                </c:pt>
                <c:pt idx="462">
                  <c:v>146.76433900000001</c:v>
                </c:pt>
                <c:pt idx="463">
                  <c:v>118.585453</c:v>
                </c:pt>
                <c:pt idx="464">
                  <c:v>168.74678399999999</c:v>
                </c:pt>
                <c:pt idx="465">
                  <c:v>178.57379800000001</c:v>
                </c:pt>
                <c:pt idx="466">
                  <c:v>149.26733199999998</c:v>
                </c:pt>
                <c:pt idx="467">
                  <c:v>178.85064700000001</c:v>
                </c:pt>
                <c:pt idx="468">
                  <c:v>192.06283300000001</c:v>
                </c:pt>
                <c:pt idx="469">
                  <c:v>167.67022900000003</c:v>
                </c:pt>
                <c:pt idx="470">
                  <c:v>177.86704600000002</c:v>
                </c:pt>
                <c:pt idx="471">
                  <c:v>203.81659800000003</c:v>
                </c:pt>
                <c:pt idx="472">
                  <c:v>199.96324999999999</c:v>
                </c:pt>
                <c:pt idx="473">
                  <c:v>198.57262499999999</c:v>
                </c:pt>
                <c:pt idx="474">
                  <c:v>180.80308800000003</c:v>
                </c:pt>
                <c:pt idx="475">
                  <c:v>144.52778400000003</c:v>
                </c:pt>
                <c:pt idx="476">
                  <c:v>157.34828699999997</c:v>
                </c:pt>
                <c:pt idx="477">
                  <c:v>129.165359</c:v>
                </c:pt>
                <c:pt idx="478">
                  <c:v>171.366152</c:v>
                </c:pt>
                <c:pt idx="479">
                  <c:v>163.95934099999999</c:v>
                </c:pt>
                <c:pt idx="480">
                  <c:v>165.85225</c:v>
                </c:pt>
                <c:pt idx="481">
                  <c:v>180.13614599999997</c:v>
                </c:pt>
                <c:pt idx="482">
                  <c:v>186.20021500000001</c:v>
                </c:pt>
                <c:pt idx="483">
                  <c:v>140.54074400000002</c:v>
                </c:pt>
                <c:pt idx="484">
                  <c:v>91.183129999999991</c:v>
                </c:pt>
                <c:pt idx="485">
                  <c:v>113.978723</c:v>
                </c:pt>
                <c:pt idx="486">
                  <c:v>149.34829799999997</c:v>
                </c:pt>
                <c:pt idx="487">
                  <c:v>187.11326699999998</c:v>
                </c:pt>
                <c:pt idx="488">
                  <c:v>186.16641300000001</c:v>
                </c:pt>
                <c:pt idx="489">
                  <c:v>169.24731</c:v>
                </c:pt>
                <c:pt idx="490">
                  <c:v>157.23645200000001</c:v>
                </c:pt>
                <c:pt idx="491">
                  <c:v>126.829863</c:v>
                </c:pt>
                <c:pt idx="492">
                  <c:v>158.044184</c:v>
                </c:pt>
                <c:pt idx="493">
                  <c:v>169.02725099999998</c:v>
                </c:pt>
                <c:pt idx="494">
                  <c:v>147.82780199999999</c:v>
                </c:pt>
                <c:pt idx="495">
                  <c:v>137.37017</c:v>
                </c:pt>
                <c:pt idx="496">
                  <c:v>132.49274199999999</c:v>
                </c:pt>
                <c:pt idx="497">
                  <c:v>141.89169000000001</c:v>
                </c:pt>
                <c:pt idx="498">
                  <c:v>124.21578100000001</c:v>
                </c:pt>
                <c:pt idx="499">
                  <c:v>127.261904</c:v>
                </c:pt>
                <c:pt idx="500">
                  <c:v>151.888938</c:v>
                </c:pt>
                <c:pt idx="501">
                  <c:v>141.62708499999999</c:v>
                </c:pt>
                <c:pt idx="502">
                  <c:v>123.13546700000001</c:v>
                </c:pt>
                <c:pt idx="503">
                  <c:v>141.89029600000001</c:v>
                </c:pt>
                <c:pt idx="504">
                  <c:v>149.16772400000002</c:v>
                </c:pt>
                <c:pt idx="505">
                  <c:v>106.83304</c:v>
                </c:pt>
                <c:pt idx="506">
                  <c:v>107.701841</c:v>
                </c:pt>
                <c:pt idx="507">
                  <c:v>87.729926999999989</c:v>
                </c:pt>
                <c:pt idx="508">
                  <c:v>99.534084000000007</c:v>
                </c:pt>
                <c:pt idx="509">
                  <c:v>120.91963199999999</c:v>
                </c:pt>
                <c:pt idx="510">
                  <c:v>121.902693</c:v>
                </c:pt>
                <c:pt idx="511">
                  <c:v>106.25985100000001</c:v>
                </c:pt>
                <c:pt idx="512">
                  <c:v>100.68469999999999</c:v>
                </c:pt>
                <c:pt idx="513">
                  <c:v>153.16722200000001</c:v>
                </c:pt>
                <c:pt idx="514">
                  <c:v>121.13665399999999</c:v>
                </c:pt>
                <c:pt idx="515">
                  <c:v>56.499038999999996</c:v>
                </c:pt>
                <c:pt idx="516">
                  <c:v>91.933517999999992</c:v>
                </c:pt>
                <c:pt idx="517">
                  <c:v>83.950518000000002</c:v>
                </c:pt>
                <c:pt idx="518">
                  <c:v>92.360892000000007</c:v>
                </c:pt>
                <c:pt idx="519">
                  <c:v>113.62086500000001</c:v>
                </c:pt>
                <c:pt idx="520">
                  <c:v>150.35358499999998</c:v>
                </c:pt>
                <c:pt idx="521">
                  <c:v>120.79439499999999</c:v>
                </c:pt>
                <c:pt idx="522">
                  <c:v>61.303362999999997</c:v>
                </c:pt>
                <c:pt idx="523">
                  <c:v>93.655795999999995</c:v>
                </c:pt>
                <c:pt idx="524">
                  <c:v>75.366657000000004</c:v>
                </c:pt>
                <c:pt idx="525">
                  <c:v>113.28643599999999</c:v>
                </c:pt>
                <c:pt idx="526">
                  <c:v>128.860749</c:v>
                </c:pt>
                <c:pt idx="527">
                  <c:v>123.881682</c:v>
                </c:pt>
                <c:pt idx="528">
                  <c:v>124.21391899999999</c:v>
                </c:pt>
                <c:pt idx="529">
                  <c:v>108.082201</c:v>
                </c:pt>
                <c:pt idx="530">
                  <c:v>31.882144999999998</c:v>
                </c:pt>
                <c:pt idx="531">
                  <c:v>60.386104999999993</c:v>
                </c:pt>
                <c:pt idx="532">
                  <c:v>37.23001</c:v>
                </c:pt>
                <c:pt idx="533">
                  <c:v>79.08165799999999</c:v>
                </c:pt>
                <c:pt idx="534">
                  <c:v>88.768568999999999</c:v>
                </c:pt>
                <c:pt idx="535">
                  <c:v>130.85115199999998</c:v>
                </c:pt>
                <c:pt idx="536">
                  <c:v>111.654521</c:v>
                </c:pt>
                <c:pt idx="537">
                  <c:v>128.015972</c:v>
                </c:pt>
                <c:pt idx="538">
                  <c:v>127.997018</c:v>
                </c:pt>
                <c:pt idx="539">
                  <c:v>128.64770200000001</c:v>
                </c:pt>
                <c:pt idx="540">
                  <c:v>102.836287</c:v>
                </c:pt>
                <c:pt idx="541">
                  <c:v>41.484577999999999</c:v>
                </c:pt>
                <c:pt idx="542">
                  <c:v>117.72577299999999</c:v>
                </c:pt>
                <c:pt idx="543">
                  <c:v>129.98076</c:v>
                </c:pt>
                <c:pt idx="544">
                  <c:v>137.66156300000003</c:v>
                </c:pt>
                <c:pt idx="545">
                  <c:v>135.669252</c:v>
                </c:pt>
                <c:pt idx="546">
                  <c:v>102.924093</c:v>
                </c:pt>
                <c:pt idx="547">
                  <c:v>67.507467000000005</c:v>
                </c:pt>
                <c:pt idx="548">
                  <c:v>116.36626799999999</c:v>
                </c:pt>
                <c:pt idx="549">
                  <c:v>66.967092000000008</c:v>
                </c:pt>
                <c:pt idx="550">
                  <c:v>110.245834</c:v>
                </c:pt>
                <c:pt idx="551">
                  <c:v>40.640574999999998</c:v>
                </c:pt>
                <c:pt idx="552">
                  <c:v>53.051883000000004</c:v>
                </c:pt>
                <c:pt idx="553">
                  <c:v>58.755645000000001</c:v>
                </c:pt>
                <c:pt idx="554">
                  <c:v>74.523268000000016</c:v>
                </c:pt>
                <c:pt idx="555">
                  <c:v>103.86831699999999</c:v>
                </c:pt>
                <c:pt idx="556">
                  <c:v>81.289057</c:v>
                </c:pt>
                <c:pt idx="557">
                  <c:v>34.811223999999996</c:v>
                </c:pt>
                <c:pt idx="558">
                  <c:v>81.407173999999998</c:v>
                </c:pt>
                <c:pt idx="559">
                  <c:v>36.625644999999999</c:v>
                </c:pt>
                <c:pt idx="560">
                  <c:v>79.885193999999998</c:v>
                </c:pt>
                <c:pt idx="561">
                  <c:v>79.476849999999999</c:v>
                </c:pt>
                <c:pt idx="562">
                  <c:v>48.690061</c:v>
                </c:pt>
                <c:pt idx="563">
                  <c:v>33.629404000000001</c:v>
                </c:pt>
                <c:pt idx="564">
                  <c:v>81.043768</c:v>
                </c:pt>
                <c:pt idx="565">
                  <c:v>87.745297999999991</c:v>
                </c:pt>
                <c:pt idx="566">
                  <c:v>34.297157999999996</c:v>
                </c:pt>
                <c:pt idx="567">
                  <c:v>64.564453</c:v>
                </c:pt>
                <c:pt idx="568">
                  <c:v>43.280155000000001</c:v>
                </c:pt>
                <c:pt idx="569">
                  <c:v>72.247172000000006</c:v>
                </c:pt>
                <c:pt idx="570">
                  <c:v>45.611167999999999</c:v>
                </c:pt>
                <c:pt idx="571">
                  <c:v>84.065594000000004</c:v>
                </c:pt>
                <c:pt idx="572">
                  <c:v>77.139202999999995</c:v>
                </c:pt>
                <c:pt idx="573">
                  <c:v>89.237429999999989</c:v>
                </c:pt>
                <c:pt idx="574">
                  <c:v>70.662244000000001</c:v>
                </c:pt>
                <c:pt idx="575">
                  <c:v>58.842205999999997</c:v>
                </c:pt>
                <c:pt idx="576">
                  <c:v>98.47831699999999</c:v>
                </c:pt>
                <c:pt idx="577">
                  <c:v>101.97303199999999</c:v>
                </c:pt>
                <c:pt idx="578">
                  <c:v>94.310289999999995</c:v>
                </c:pt>
                <c:pt idx="579">
                  <c:v>40.071273999999995</c:v>
                </c:pt>
                <c:pt idx="580">
                  <c:v>40.543119000000004</c:v>
                </c:pt>
                <c:pt idx="581">
                  <c:v>35.889093000000003</c:v>
                </c:pt>
                <c:pt idx="582">
                  <c:v>42.185986</c:v>
                </c:pt>
                <c:pt idx="583">
                  <c:v>73.835945000000009</c:v>
                </c:pt>
                <c:pt idx="584">
                  <c:v>112.92407700000001</c:v>
                </c:pt>
                <c:pt idx="585">
                  <c:v>90.300467999999995</c:v>
                </c:pt>
                <c:pt idx="586">
                  <c:v>68.812692000000013</c:v>
                </c:pt>
                <c:pt idx="587">
                  <c:v>75.99363000000001</c:v>
                </c:pt>
                <c:pt idx="588">
                  <c:v>114.840307</c:v>
                </c:pt>
                <c:pt idx="589">
                  <c:v>116.74641099999999</c:v>
                </c:pt>
                <c:pt idx="590">
                  <c:v>106.844781</c:v>
                </c:pt>
                <c:pt idx="591">
                  <c:v>56.634459999999997</c:v>
                </c:pt>
                <c:pt idx="592">
                  <c:v>77.872731999999999</c:v>
                </c:pt>
                <c:pt idx="593">
                  <c:v>69.918723</c:v>
                </c:pt>
                <c:pt idx="594">
                  <c:v>67.541835000000006</c:v>
                </c:pt>
                <c:pt idx="595">
                  <c:v>69.613529000000014</c:v>
                </c:pt>
                <c:pt idx="596">
                  <c:v>107.87838299999999</c:v>
                </c:pt>
                <c:pt idx="597">
                  <c:v>109.66386600000001</c:v>
                </c:pt>
                <c:pt idx="598">
                  <c:v>114.218214</c:v>
                </c:pt>
                <c:pt idx="599">
                  <c:v>38.613664</c:v>
                </c:pt>
                <c:pt idx="600">
                  <c:v>70.463207999999995</c:v>
                </c:pt>
                <c:pt idx="601">
                  <c:v>85.475232999999989</c:v>
                </c:pt>
                <c:pt idx="602">
                  <c:v>79.723697999999999</c:v>
                </c:pt>
                <c:pt idx="603">
                  <c:v>55.798473000000001</c:v>
                </c:pt>
                <c:pt idx="604">
                  <c:v>40.743274</c:v>
                </c:pt>
                <c:pt idx="605">
                  <c:v>55.993585999999993</c:v>
                </c:pt>
                <c:pt idx="606">
                  <c:v>54.458033999999998</c:v>
                </c:pt>
                <c:pt idx="607">
                  <c:v>37.721866999999996</c:v>
                </c:pt>
                <c:pt idx="608">
                  <c:v>56.599505999999998</c:v>
                </c:pt>
                <c:pt idx="609">
                  <c:v>68.274581999999995</c:v>
                </c:pt>
                <c:pt idx="610">
                  <c:v>48.223042</c:v>
                </c:pt>
                <c:pt idx="611">
                  <c:v>53.247691000000003</c:v>
                </c:pt>
                <c:pt idx="612">
                  <c:v>71.629503</c:v>
                </c:pt>
                <c:pt idx="613">
                  <c:v>36.237599000000003</c:v>
                </c:pt>
                <c:pt idx="614">
                  <c:v>58.408900000000003</c:v>
                </c:pt>
                <c:pt idx="615">
                  <c:v>69.797329999999988</c:v>
                </c:pt>
                <c:pt idx="616">
                  <c:v>42.754641000000007</c:v>
                </c:pt>
                <c:pt idx="617">
                  <c:v>60.751535000000004</c:v>
                </c:pt>
                <c:pt idx="618">
                  <c:v>56.420782000000003</c:v>
                </c:pt>
                <c:pt idx="619">
                  <c:v>42.805059</c:v>
                </c:pt>
                <c:pt idx="620">
                  <c:v>39.969307000000001</c:v>
                </c:pt>
                <c:pt idx="621">
                  <c:v>80.122593999999992</c:v>
                </c:pt>
                <c:pt idx="622">
                  <c:v>65.337278999999995</c:v>
                </c:pt>
                <c:pt idx="623">
                  <c:v>88.341304999999991</c:v>
                </c:pt>
                <c:pt idx="624">
                  <c:v>80.228186000000008</c:v>
                </c:pt>
                <c:pt idx="625">
                  <c:v>75.864009999999993</c:v>
                </c:pt>
                <c:pt idx="626">
                  <c:v>102.410545</c:v>
                </c:pt>
                <c:pt idx="627">
                  <c:v>91.605069</c:v>
                </c:pt>
                <c:pt idx="628">
                  <c:v>112.47807399999999</c:v>
                </c:pt>
                <c:pt idx="629">
                  <c:v>138.48805300000001</c:v>
                </c:pt>
                <c:pt idx="630">
                  <c:v>133.999719</c:v>
                </c:pt>
                <c:pt idx="631">
                  <c:v>124.657213</c:v>
                </c:pt>
                <c:pt idx="632">
                  <c:v>151.73920100000001</c:v>
                </c:pt>
                <c:pt idx="633">
                  <c:v>136.862976</c:v>
                </c:pt>
                <c:pt idx="634">
                  <c:v>127.21051900000001</c:v>
                </c:pt>
                <c:pt idx="635">
                  <c:v>137.85002799999998</c:v>
                </c:pt>
                <c:pt idx="636">
                  <c:v>142.03114300000001</c:v>
                </c:pt>
                <c:pt idx="637">
                  <c:v>139.66417899999999</c:v>
                </c:pt>
                <c:pt idx="638">
                  <c:v>116.50446799999999</c:v>
                </c:pt>
                <c:pt idx="639">
                  <c:v>128.420378</c:v>
                </c:pt>
                <c:pt idx="640">
                  <c:v>112.06968100000002</c:v>
                </c:pt>
                <c:pt idx="641">
                  <c:v>85.442315000000008</c:v>
                </c:pt>
                <c:pt idx="642">
                  <c:v>99.145418000000006</c:v>
                </c:pt>
                <c:pt idx="643">
                  <c:v>67.606906000000009</c:v>
                </c:pt>
                <c:pt idx="644">
                  <c:v>103.151397</c:v>
                </c:pt>
                <c:pt idx="645">
                  <c:v>124.299683</c:v>
                </c:pt>
                <c:pt idx="646">
                  <c:v>102.812527</c:v>
                </c:pt>
                <c:pt idx="647">
                  <c:v>117.948644</c:v>
                </c:pt>
                <c:pt idx="648">
                  <c:v>176.66373300000001</c:v>
                </c:pt>
                <c:pt idx="649">
                  <c:v>180.68749299999999</c:v>
                </c:pt>
                <c:pt idx="650">
                  <c:v>179.094121</c:v>
                </c:pt>
                <c:pt idx="651">
                  <c:v>89.934914000000006</c:v>
                </c:pt>
                <c:pt idx="652">
                  <c:v>113.46282099999999</c:v>
                </c:pt>
                <c:pt idx="653">
                  <c:v>173.612562</c:v>
                </c:pt>
                <c:pt idx="654">
                  <c:v>169.97131200000001</c:v>
                </c:pt>
                <c:pt idx="655">
                  <c:v>156.81841900000001</c:v>
                </c:pt>
                <c:pt idx="656">
                  <c:v>140.32770199999999</c:v>
                </c:pt>
                <c:pt idx="657">
                  <c:v>96.087165999999996</c:v>
                </c:pt>
                <c:pt idx="658">
                  <c:v>120.060744</c:v>
                </c:pt>
                <c:pt idx="659">
                  <c:v>138.27279300000001</c:v>
                </c:pt>
                <c:pt idx="660">
                  <c:v>173.43251199999997</c:v>
                </c:pt>
                <c:pt idx="661">
                  <c:v>191.57538699999998</c:v>
                </c:pt>
                <c:pt idx="662">
                  <c:v>167.591734</c:v>
                </c:pt>
                <c:pt idx="663">
                  <c:v>160.92261299999998</c:v>
                </c:pt>
                <c:pt idx="664">
                  <c:v>163.616724</c:v>
                </c:pt>
                <c:pt idx="665">
                  <c:v>131.643359</c:v>
                </c:pt>
                <c:pt idx="666">
                  <c:v>109.909254</c:v>
                </c:pt>
                <c:pt idx="667">
                  <c:v>176.27477000000002</c:v>
                </c:pt>
                <c:pt idx="668">
                  <c:v>169.41041000000001</c:v>
                </c:pt>
                <c:pt idx="669">
                  <c:v>168.57188500000001</c:v>
                </c:pt>
                <c:pt idx="670">
                  <c:v>145.24848300000002</c:v>
                </c:pt>
                <c:pt idx="671">
                  <c:v>152.76104000000001</c:v>
                </c:pt>
                <c:pt idx="672">
                  <c:v>154.68800699999997</c:v>
                </c:pt>
                <c:pt idx="673">
                  <c:v>141.98985500000001</c:v>
                </c:pt>
                <c:pt idx="674">
                  <c:v>132.70071299999998</c:v>
                </c:pt>
                <c:pt idx="675">
                  <c:v>125.39351300000001</c:v>
                </c:pt>
                <c:pt idx="676">
                  <c:v>149.50188500000002</c:v>
                </c:pt>
                <c:pt idx="677">
                  <c:v>182.714585</c:v>
                </c:pt>
                <c:pt idx="678">
                  <c:v>193.94298299999997</c:v>
                </c:pt>
                <c:pt idx="679">
                  <c:v>112.04250399999999</c:v>
                </c:pt>
                <c:pt idx="680">
                  <c:v>117.620048</c:v>
                </c:pt>
                <c:pt idx="681">
                  <c:v>166.00760900000003</c:v>
                </c:pt>
                <c:pt idx="682">
                  <c:v>184.034976</c:v>
                </c:pt>
                <c:pt idx="683">
                  <c:v>209.252174</c:v>
                </c:pt>
                <c:pt idx="684">
                  <c:v>220.560329</c:v>
                </c:pt>
                <c:pt idx="685">
                  <c:v>227.21309400000001</c:v>
                </c:pt>
                <c:pt idx="686">
                  <c:v>178.28428</c:v>
                </c:pt>
                <c:pt idx="687">
                  <c:v>166.18034999999998</c:v>
                </c:pt>
                <c:pt idx="688">
                  <c:v>200.82209400000002</c:v>
                </c:pt>
                <c:pt idx="689">
                  <c:v>144.19045600000001</c:v>
                </c:pt>
                <c:pt idx="690">
                  <c:v>190.07666500000002</c:v>
                </c:pt>
                <c:pt idx="691">
                  <c:v>167.42293799999999</c:v>
                </c:pt>
                <c:pt idx="692">
                  <c:v>165.12406699999997</c:v>
                </c:pt>
                <c:pt idx="693">
                  <c:v>153.28272699999999</c:v>
                </c:pt>
                <c:pt idx="694">
                  <c:v>147.98727</c:v>
                </c:pt>
                <c:pt idx="695">
                  <c:v>212.95942300000002</c:v>
                </c:pt>
                <c:pt idx="696">
                  <c:v>168.31767499999998</c:v>
                </c:pt>
                <c:pt idx="697">
                  <c:v>136.538625</c:v>
                </c:pt>
                <c:pt idx="698">
                  <c:v>210.08236300000002</c:v>
                </c:pt>
                <c:pt idx="699">
                  <c:v>154.84169500000002</c:v>
                </c:pt>
                <c:pt idx="700">
                  <c:v>122.266015</c:v>
                </c:pt>
                <c:pt idx="701">
                  <c:v>147.454926</c:v>
                </c:pt>
                <c:pt idx="702">
                  <c:v>179.53910300000001</c:v>
                </c:pt>
                <c:pt idx="703">
                  <c:v>208.95022800000001</c:v>
                </c:pt>
                <c:pt idx="704">
                  <c:v>226.37026</c:v>
                </c:pt>
                <c:pt idx="705">
                  <c:v>184.93257999999997</c:v>
                </c:pt>
                <c:pt idx="706">
                  <c:v>183.60934400000002</c:v>
                </c:pt>
                <c:pt idx="707">
                  <c:v>126.293412</c:v>
                </c:pt>
                <c:pt idx="708">
                  <c:v>137.04002</c:v>
                </c:pt>
                <c:pt idx="709">
                  <c:v>209.36319800000001</c:v>
                </c:pt>
                <c:pt idx="710">
                  <c:v>196.17221600000002</c:v>
                </c:pt>
                <c:pt idx="711">
                  <c:v>207.20928199999997</c:v>
                </c:pt>
                <c:pt idx="712">
                  <c:v>205.77052799999998</c:v>
                </c:pt>
                <c:pt idx="713">
                  <c:v>179.25187199999999</c:v>
                </c:pt>
                <c:pt idx="714">
                  <c:v>218.26626000000002</c:v>
                </c:pt>
                <c:pt idx="715">
                  <c:v>182.293646</c:v>
                </c:pt>
                <c:pt idx="716">
                  <c:v>212.505225</c:v>
                </c:pt>
                <c:pt idx="717">
                  <c:v>215.87432400000003</c:v>
                </c:pt>
                <c:pt idx="718">
                  <c:v>240.755494</c:v>
                </c:pt>
                <c:pt idx="719">
                  <c:v>227.00799099999998</c:v>
                </c:pt>
                <c:pt idx="720">
                  <c:v>234.23846399999999</c:v>
                </c:pt>
                <c:pt idx="721">
                  <c:v>197.348084</c:v>
                </c:pt>
                <c:pt idx="722">
                  <c:v>168.26594700000001</c:v>
                </c:pt>
                <c:pt idx="723">
                  <c:v>214.53951900000001</c:v>
                </c:pt>
                <c:pt idx="724">
                  <c:v>256.099987</c:v>
                </c:pt>
                <c:pt idx="725">
                  <c:v>244.58953700000001</c:v>
                </c:pt>
                <c:pt idx="726">
                  <c:v>262.68385999999998</c:v>
                </c:pt>
                <c:pt idx="727">
                  <c:v>282.556061</c:v>
                </c:pt>
                <c:pt idx="728">
                  <c:v>235.32916599999999</c:v>
                </c:pt>
                <c:pt idx="729">
                  <c:v>219.31225499999999</c:v>
                </c:pt>
                <c:pt idx="730">
                  <c:v>256.53181000000001</c:v>
                </c:pt>
                <c:pt idx="731">
                  <c:v>231.36151899999999</c:v>
                </c:pt>
                <c:pt idx="732">
                  <c:v>250.609148</c:v>
                </c:pt>
                <c:pt idx="733">
                  <c:v>219.550253</c:v>
                </c:pt>
                <c:pt idx="734">
                  <c:v>244.44533100000001</c:v>
                </c:pt>
                <c:pt idx="735">
                  <c:v>229.82373199999998</c:v>
                </c:pt>
                <c:pt idx="736">
                  <c:v>186.97265600000003</c:v>
                </c:pt>
                <c:pt idx="737">
                  <c:v>250.87956700000001</c:v>
                </c:pt>
                <c:pt idx="738">
                  <c:v>233.35488700000002</c:v>
                </c:pt>
                <c:pt idx="739">
                  <c:v>216.63288699999998</c:v>
                </c:pt>
                <c:pt idx="740">
                  <c:v>224.41812399999998</c:v>
                </c:pt>
                <c:pt idx="741">
                  <c:v>242.751465</c:v>
                </c:pt>
                <c:pt idx="742">
                  <c:v>215.03872399999997</c:v>
                </c:pt>
                <c:pt idx="743">
                  <c:v>196.41823399999998</c:v>
                </c:pt>
                <c:pt idx="744">
                  <c:v>249.657298</c:v>
                </c:pt>
                <c:pt idx="745">
                  <c:v>250.71830099999997</c:v>
                </c:pt>
                <c:pt idx="746">
                  <c:v>247.67928499999999</c:v>
                </c:pt>
                <c:pt idx="747">
                  <c:v>261.07869299999999</c:v>
                </c:pt>
                <c:pt idx="748">
                  <c:v>257.18367499999999</c:v>
                </c:pt>
                <c:pt idx="749">
                  <c:v>230.17152100000001</c:v>
                </c:pt>
                <c:pt idx="750">
                  <c:v>226.349996</c:v>
                </c:pt>
                <c:pt idx="751">
                  <c:v>240.11221599999999</c:v>
                </c:pt>
                <c:pt idx="752">
                  <c:v>248.54756999999998</c:v>
                </c:pt>
                <c:pt idx="753">
                  <c:v>258.68150000000003</c:v>
                </c:pt>
                <c:pt idx="754">
                  <c:v>259.36267300000003</c:v>
                </c:pt>
                <c:pt idx="755">
                  <c:v>272.05404700000003</c:v>
                </c:pt>
                <c:pt idx="756">
                  <c:v>274.65496000000002</c:v>
                </c:pt>
                <c:pt idx="757">
                  <c:v>208.73076200000003</c:v>
                </c:pt>
                <c:pt idx="758">
                  <c:v>250.65148199999999</c:v>
                </c:pt>
                <c:pt idx="759">
                  <c:v>281.30059299999999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4F7-B176-527443CE71EF}"/>
            </c:ext>
          </c:extLst>
        </c:ser>
        <c:ser>
          <c:idx val="2"/>
          <c:order val="1"/>
          <c:tx>
            <c:v>SECO</c:v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5'!$D$2:$D$762</c:f>
              <c:numCache>
                <c:formatCode>#,##0.0</c:formatCode>
                <c:ptCount val="761"/>
                <c:pt idx="0">
                  <c:v>156.54410505527832</c:v>
                </c:pt>
                <c:pt idx="1">
                  <c:v>156.54410505527832</c:v>
                </c:pt>
                <c:pt idx="2">
                  <c:v>156.54410505527832</c:v>
                </c:pt>
                <c:pt idx="3">
                  <c:v>156.54410505527832</c:v>
                </c:pt>
                <c:pt idx="4">
                  <c:v>156.54410505527832</c:v>
                </c:pt>
                <c:pt idx="5">
                  <c:v>156.54410505527832</c:v>
                </c:pt>
                <c:pt idx="6">
                  <c:v>156.54410505527832</c:v>
                </c:pt>
                <c:pt idx="7">
                  <c:v>156.54410505527832</c:v>
                </c:pt>
                <c:pt idx="8">
                  <c:v>156.54410505527832</c:v>
                </c:pt>
                <c:pt idx="9">
                  <c:v>156.54410505527832</c:v>
                </c:pt>
                <c:pt idx="10">
                  <c:v>156.54410505527832</c:v>
                </c:pt>
                <c:pt idx="11">
                  <c:v>156.54410505527832</c:v>
                </c:pt>
                <c:pt idx="12">
                  <c:v>156.54410505527832</c:v>
                </c:pt>
                <c:pt idx="13">
                  <c:v>156.54410505527832</c:v>
                </c:pt>
                <c:pt idx="14">
                  <c:v>156.54410505527832</c:v>
                </c:pt>
                <c:pt idx="15">
                  <c:v>156.54410505527832</c:v>
                </c:pt>
                <c:pt idx="16">
                  <c:v>156.54410505527832</c:v>
                </c:pt>
                <c:pt idx="17">
                  <c:v>156.54410505527832</c:v>
                </c:pt>
                <c:pt idx="18">
                  <c:v>156.54410505527832</c:v>
                </c:pt>
                <c:pt idx="19">
                  <c:v>156.54410505527832</c:v>
                </c:pt>
                <c:pt idx="20">
                  <c:v>156.54410505527832</c:v>
                </c:pt>
                <c:pt idx="21">
                  <c:v>156.54410505527832</c:v>
                </c:pt>
                <c:pt idx="22">
                  <c:v>156.54410505527832</c:v>
                </c:pt>
                <c:pt idx="23">
                  <c:v>156.54410505527832</c:v>
                </c:pt>
                <c:pt idx="24">
                  <c:v>156.54410505527832</c:v>
                </c:pt>
                <c:pt idx="25">
                  <c:v>156.54410505527832</c:v>
                </c:pt>
                <c:pt idx="26">
                  <c:v>156.54410505527832</c:v>
                </c:pt>
                <c:pt idx="27">
                  <c:v>156.54410505527832</c:v>
                </c:pt>
                <c:pt idx="28">
                  <c:v>156.54410505527832</c:v>
                </c:pt>
                <c:pt idx="29">
                  <c:v>156.54410505527832</c:v>
                </c:pt>
                <c:pt idx="30">
                  <c:v>160.28440463675545</c:v>
                </c:pt>
                <c:pt idx="31">
                  <c:v>160.28440463675545</c:v>
                </c:pt>
                <c:pt idx="32">
                  <c:v>160.28440463675545</c:v>
                </c:pt>
                <c:pt idx="33">
                  <c:v>160.28440463675545</c:v>
                </c:pt>
                <c:pt idx="34">
                  <c:v>160.28440463675545</c:v>
                </c:pt>
                <c:pt idx="35">
                  <c:v>160.28440463675545</c:v>
                </c:pt>
                <c:pt idx="36">
                  <c:v>160.28440463675545</c:v>
                </c:pt>
                <c:pt idx="37">
                  <c:v>160.28440463675545</c:v>
                </c:pt>
                <c:pt idx="38">
                  <c:v>160.28440463675545</c:v>
                </c:pt>
                <c:pt idx="39">
                  <c:v>160.28440463675545</c:v>
                </c:pt>
                <c:pt idx="40">
                  <c:v>160.28440463675545</c:v>
                </c:pt>
                <c:pt idx="41">
                  <c:v>160.28440463675545</c:v>
                </c:pt>
                <c:pt idx="42">
                  <c:v>160.28440463675545</c:v>
                </c:pt>
                <c:pt idx="43">
                  <c:v>160.28440463675545</c:v>
                </c:pt>
                <c:pt idx="44">
                  <c:v>160.28440463675545</c:v>
                </c:pt>
                <c:pt idx="45">
                  <c:v>160.28440463675545</c:v>
                </c:pt>
                <c:pt idx="46">
                  <c:v>160.28440463675545</c:v>
                </c:pt>
                <c:pt idx="47">
                  <c:v>160.28440463675545</c:v>
                </c:pt>
                <c:pt idx="48">
                  <c:v>160.28440463675545</c:v>
                </c:pt>
                <c:pt idx="49">
                  <c:v>160.28440463675545</c:v>
                </c:pt>
                <c:pt idx="50">
                  <c:v>160.28440463675545</c:v>
                </c:pt>
                <c:pt idx="51">
                  <c:v>160.28440463675545</c:v>
                </c:pt>
                <c:pt idx="52">
                  <c:v>160.28440463675545</c:v>
                </c:pt>
                <c:pt idx="53">
                  <c:v>160.28440463675545</c:v>
                </c:pt>
                <c:pt idx="54">
                  <c:v>160.28440463675545</c:v>
                </c:pt>
                <c:pt idx="55">
                  <c:v>160.28440463675545</c:v>
                </c:pt>
                <c:pt idx="56">
                  <c:v>160.28440463675545</c:v>
                </c:pt>
                <c:pt idx="57">
                  <c:v>160.28440463675545</c:v>
                </c:pt>
                <c:pt idx="58">
                  <c:v>160.28440463675545</c:v>
                </c:pt>
                <c:pt idx="59">
                  <c:v>160.28440463675545</c:v>
                </c:pt>
                <c:pt idx="60">
                  <c:v>160.28440463675545</c:v>
                </c:pt>
                <c:pt idx="61">
                  <c:v>149.35317207518861</c:v>
                </c:pt>
                <c:pt idx="62">
                  <c:v>149.35317207518861</c:v>
                </c:pt>
                <c:pt idx="63">
                  <c:v>149.35317207518861</c:v>
                </c:pt>
                <c:pt idx="64">
                  <c:v>149.35317207518861</c:v>
                </c:pt>
                <c:pt idx="65">
                  <c:v>149.35317207518861</c:v>
                </c:pt>
                <c:pt idx="66">
                  <c:v>149.35317207518861</c:v>
                </c:pt>
                <c:pt idx="67">
                  <c:v>149.35317207518861</c:v>
                </c:pt>
                <c:pt idx="68">
                  <c:v>149.35317207518861</c:v>
                </c:pt>
                <c:pt idx="69">
                  <c:v>149.35317207518861</c:v>
                </c:pt>
                <c:pt idx="70">
                  <c:v>149.35317207518861</c:v>
                </c:pt>
                <c:pt idx="71">
                  <c:v>149.35317207518861</c:v>
                </c:pt>
                <c:pt idx="72">
                  <c:v>149.35317207518861</c:v>
                </c:pt>
                <c:pt idx="73">
                  <c:v>149.35317207518861</c:v>
                </c:pt>
                <c:pt idx="74">
                  <c:v>149.35317207518861</c:v>
                </c:pt>
                <c:pt idx="75">
                  <c:v>149.35317207518861</c:v>
                </c:pt>
                <c:pt idx="76">
                  <c:v>149.35317207518861</c:v>
                </c:pt>
                <c:pt idx="77">
                  <c:v>149.35317207518861</c:v>
                </c:pt>
                <c:pt idx="78">
                  <c:v>149.35317207518861</c:v>
                </c:pt>
                <c:pt idx="79">
                  <c:v>149.35317207518861</c:v>
                </c:pt>
                <c:pt idx="80">
                  <c:v>149.35317207518861</c:v>
                </c:pt>
                <c:pt idx="81">
                  <c:v>149.35317207518861</c:v>
                </c:pt>
                <c:pt idx="82">
                  <c:v>149.35317207518861</c:v>
                </c:pt>
                <c:pt idx="83">
                  <c:v>149.35317207518861</c:v>
                </c:pt>
                <c:pt idx="84">
                  <c:v>149.35317207518861</c:v>
                </c:pt>
                <c:pt idx="85">
                  <c:v>149.35317207518861</c:v>
                </c:pt>
                <c:pt idx="86">
                  <c:v>149.35317207518861</c:v>
                </c:pt>
                <c:pt idx="87">
                  <c:v>149.35317207518861</c:v>
                </c:pt>
                <c:pt idx="88">
                  <c:v>149.35317207518861</c:v>
                </c:pt>
                <c:pt idx="89">
                  <c:v>149.35317207518861</c:v>
                </c:pt>
                <c:pt idx="90">
                  <c:v>149.35317207518861</c:v>
                </c:pt>
                <c:pt idx="91">
                  <c:v>149.35317207518861</c:v>
                </c:pt>
                <c:pt idx="92">
                  <c:v>126.6929881001642</c:v>
                </c:pt>
                <c:pt idx="93">
                  <c:v>126.6929881001642</c:v>
                </c:pt>
                <c:pt idx="94">
                  <c:v>126.6929881001642</c:v>
                </c:pt>
                <c:pt idx="95">
                  <c:v>126.6929881001642</c:v>
                </c:pt>
                <c:pt idx="96">
                  <c:v>126.6929881001642</c:v>
                </c:pt>
                <c:pt idx="97">
                  <c:v>126.6929881001642</c:v>
                </c:pt>
                <c:pt idx="98">
                  <c:v>126.6929881001642</c:v>
                </c:pt>
                <c:pt idx="99">
                  <c:v>126.6929881001642</c:v>
                </c:pt>
                <c:pt idx="100">
                  <c:v>126.6929881001642</c:v>
                </c:pt>
                <c:pt idx="101">
                  <c:v>126.6929881001642</c:v>
                </c:pt>
                <c:pt idx="102">
                  <c:v>126.6929881001642</c:v>
                </c:pt>
                <c:pt idx="103">
                  <c:v>126.6929881001642</c:v>
                </c:pt>
                <c:pt idx="104">
                  <c:v>126.6929881001642</c:v>
                </c:pt>
                <c:pt idx="105">
                  <c:v>126.6929881001642</c:v>
                </c:pt>
                <c:pt idx="106">
                  <c:v>126.6929881001642</c:v>
                </c:pt>
                <c:pt idx="107">
                  <c:v>126.6929881001642</c:v>
                </c:pt>
                <c:pt idx="108">
                  <c:v>126.6929881001642</c:v>
                </c:pt>
                <c:pt idx="109">
                  <c:v>126.6929881001642</c:v>
                </c:pt>
                <c:pt idx="110">
                  <c:v>126.6929881001642</c:v>
                </c:pt>
                <c:pt idx="111">
                  <c:v>126.6929881001642</c:v>
                </c:pt>
                <c:pt idx="112">
                  <c:v>126.6929881001642</c:v>
                </c:pt>
                <c:pt idx="113">
                  <c:v>126.6929881001642</c:v>
                </c:pt>
                <c:pt idx="114">
                  <c:v>126.6929881001642</c:v>
                </c:pt>
                <c:pt idx="115">
                  <c:v>126.6929881001642</c:v>
                </c:pt>
                <c:pt idx="116">
                  <c:v>126.6929881001642</c:v>
                </c:pt>
                <c:pt idx="117">
                  <c:v>126.6929881001642</c:v>
                </c:pt>
                <c:pt idx="118">
                  <c:v>126.6929881001642</c:v>
                </c:pt>
                <c:pt idx="119">
                  <c:v>126.6929881001642</c:v>
                </c:pt>
                <c:pt idx="120">
                  <c:v>126.6929881001642</c:v>
                </c:pt>
                <c:pt idx="121">
                  <c:v>126.6929881001642</c:v>
                </c:pt>
                <c:pt idx="122">
                  <c:v>100.30245927905248</c:v>
                </c:pt>
                <c:pt idx="123">
                  <c:v>100.30245927905248</c:v>
                </c:pt>
                <c:pt idx="124">
                  <c:v>100.30245927905248</c:v>
                </c:pt>
                <c:pt idx="125">
                  <c:v>100.30245927905248</c:v>
                </c:pt>
                <c:pt idx="126">
                  <c:v>100.30245927905248</c:v>
                </c:pt>
                <c:pt idx="127">
                  <c:v>100.30245927905248</c:v>
                </c:pt>
                <c:pt idx="128">
                  <c:v>100.30245927905248</c:v>
                </c:pt>
                <c:pt idx="129">
                  <c:v>100.30245927905248</c:v>
                </c:pt>
                <c:pt idx="130">
                  <c:v>100.30245927905248</c:v>
                </c:pt>
                <c:pt idx="131">
                  <c:v>100.30245927905248</c:v>
                </c:pt>
                <c:pt idx="132">
                  <c:v>100.30245927905248</c:v>
                </c:pt>
                <c:pt idx="133">
                  <c:v>100.30245927905248</c:v>
                </c:pt>
                <c:pt idx="134">
                  <c:v>100.30245927905248</c:v>
                </c:pt>
                <c:pt idx="135">
                  <c:v>100.30245927905248</c:v>
                </c:pt>
                <c:pt idx="136">
                  <c:v>100.30245927905248</c:v>
                </c:pt>
                <c:pt idx="137">
                  <c:v>100.30245927905248</c:v>
                </c:pt>
                <c:pt idx="138">
                  <c:v>100.30245927905248</c:v>
                </c:pt>
                <c:pt idx="139">
                  <c:v>100.30245927905248</c:v>
                </c:pt>
                <c:pt idx="140">
                  <c:v>100.30245927905248</c:v>
                </c:pt>
                <c:pt idx="141">
                  <c:v>100.30245927905248</c:v>
                </c:pt>
                <c:pt idx="142">
                  <c:v>100.30245927905248</c:v>
                </c:pt>
                <c:pt idx="143">
                  <c:v>100.30245927905248</c:v>
                </c:pt>
                <c:pt idx="144">
                  <c:v>100.30245927905248</c:v>
                </c:pt>
                <c:pt idx="145">
                  <c:v>100.30245927905248</c:v>
                </c:pt>
                <c:pt idx="146">
                  <c:v>100.30245927905248</c:v>
                </c:pt>
                <c:pt idx="147">
                  <c:v>100.30245927905248</c:v>
                </c:pt>
                <c:pt idx="148">
                  <c:v>100.30245927905248</c:v>
                </c:pt>
                <c:pt idx="149">
                  <c:v>100.30245927905248</c:v>
                </c:pt>
                <c:pt idx="150">
                  <c:v>100.30245927905248</c:v>
                </c:pt>
                <c:pt idx="151">
                  <c:v>100.30245927905248</c:v>
                </c:pt>
                <c:pt idx="152">
                  <c:v>100.30245927905248</c:v>
                </c:pt>
                <c:pt idx="153">
                  <c:v>73.512523066069093</c:v>
                </c:pt>
                <c:pt idx="154">
                  <c:v>73.512523066069093</c:v>
                </c:pt>
                <c:pt idx="155">
                  <c:v>73.512523066069093</c:v>
                </c:pt>
                <c:pt idx="156">
                  <c:v>73.512523066069093</c:v>
                </c:pt>
                <c:pt idx="157">
                  <c:v>73.512523066069093</c:v>
                </c:pt>
                <c:pt idx="158">
                  <c:v>73.512523066069093</c:v>
                </c:pt>
                <c:pt idx="159">
                  <c:v>73.512523066069093</c:v>
                </c:pt>
                <c:pt idx="160">
                  <c:v>73.512523066069093</c:v>
                </c:pt>
                <c:pt idx="161">
                  <c:v>73.512523066069093</c:v>
                </c:pt>
                <c:pt idx="162">
                  <c:v>73.512523066069093</c:v>
                </c:pt>
                <c:pt idx="163">
                  <c:v>73.512523066069093</c:v>
                </c:pt>
                <c:pt idx="164">
                  <c:v>73.512523066069093</c:v>
                </c:pt>
                <c:pt idx="165">
                  <c:v>73.512523066069093</c:v>
                </c:pt>
                <c:pt idx="166">
                  <c:v>73.512523066069093</c:v>
                </c:pt>
                <c:pt idx="167">
                  <c:v>73.512523066069093</c:v>
                </c:pt>
                <c:pt idx="168">
                  <c:v>73.512523066069093</c:v>
                </c:pt>
                <c:pt idx="169">
                  <c:v>73.512523066069093</c:v>
                </c:pt>
                <c:pt idx="170">
                  <c:v>73.512523066069093</c:v>
                </c:pt>
                <c:pt idx="171">
                  <c:v>73.512523066069093</c:v>
                </c:pt>
                <c:pt idx="172">
                  <c:v>73.512523066069093</c:v>
                </c:pt>
                <c:pt idx="173">
                  <c:v>73.512523066069093</c:v>
                </c:pt>
                <c:pt idx="174">
                  <c:v>73.512523066069093</c:v>
                </c:pt>
                <c:pt idx="175">
                  <c:v>73.512523066069093</c:v>
                </c:pt>
                <c:pt idx="176">
                  <c:v>73.512523066069093</c:v>
                </c:pt>
                <c:pt idx="177">
                  <c:v>73.512523066069093</c:v>
                </c:pt>
                <c:pt idx="178">
                  <c:v>73.512523066069093</c:v>
                </c:pt>
                <c:pt idx="179">
                  <c:v>73.512523066069093</c:v>
                </c:pt>
                <c:pt idx="180">
                  <c:v>73.512523066069093</c:v>
                </c:pt>
                <c:pt idx="181">
                  <c:v>73.512523066069093</c:v>
                </c:pt>
                <c:pt idx="182">
                  <c:v>73.512523066069093</c:v>
                </c:pt>
                <c:pt idx="183">
                  <c:v>62.677295626558916</c:v>
                </c:pt>
                <c:pt idx="184">
                  <c:v>62.677295626558916</c:v>
                </c:pt>
                <c:pt idx="185">
                  <c:v>62.677295626558916</c:v>
                </c:pt>
                <c:pt idx="186">
                  <c:v>62.677295626558916</c:v>
                </c:pt>
                <c:pt idx="187">
                  <c:v>62.677295626558916</c:v>
                </c:pt>
                <c:pt idx="188">
                  <c:v>62.677295626558916</c:v>
                </c:pt>
                <c:pt idx="189">
                  <c:v>62.677295626558916</c:v>
                </c:pt>
                <c:pt idx="190">
                  <c:v>62.677295626558916</c:v>
                </c:pt>
                <c:pt idx="191">
                  <c:v>62.677295626558916</c:v>
                </c:pt>
                <c:pt idx="192">
                  <c:v>62.677295626558916</c:v>
                </c:pt>
                <c:pt idx="193">
                  <c:v>62.677295626558916</c:v>
                </c:pt>
                <c:pt idx="194">
                  <c:v>62.677295626558916</c:v>
                </c:pt>
                <c:pt idx="195">
                  <c:v>62.677295626558916</c:v>
                </c:pt>
                <c:pt idx="196">
                  <c:v>62.677295626558916</c:v>
                </c:pt>
                <c:pt idx="197">
                  <c:v>62.677295626558916</c:v>
                </c:pt>
                <c:pt idx="198">
                  <c:v>62.677295626558916</c:v>
                </c:pt>
                <c:pt idx="199">
                  <c:v>62.677295626558916</c:v>
                </c:pt>
                <c:pt idx="200">
                  <c:v>62.677295626558916</c:v>
                </c:pt>
                <c:pt idx="201">
                  <c:v>62.677295626558916</c:v>
                </c:pt>
                <c:pt idx="202">
                  <c:v>62.677295626558916</c:v>
                </c:pt>
                <c:pt idx="203">
                  <c:v>62.677295626558916</c:v>
                </c:pt>
                <c:pt idx="204">
                  <c:v>62.677295626558916</c:v>
                </c:pt>
                <c:pt idx="205">
                  <c:v>62.677295626558916</c:v>
                </c:pt>
                <c:pt idx="206">
                  <c:v>62.677295626558916</c:v>
                </c:pt>
                <c:pt idx="207">
                  <c:v>62.677295626558916</c:v>
                </c:pt>
                <c:pt idx="208">
                  <c:v>62.677295626558916</c:v>
                </c:pt>
                <c:pt idx="209">
                  <c:v>62.677295626558916</c:v>
                </c:pt>
                <c:pt idx="210">
                  <c:v>62.677295626558916</c:v>
                </c:pt>
                <c:pt idx="211">
                  <c:v>62.677295626558916</c:v>
                </c:pt>
                <c:pt idx="212">
                  <c:v>62.677295626558916</c:v>
                </c:pt>
                <c:pt idx="213">
                  <c:v>62.677295626558916</c:v>
                </c:pt>
                <c:pt idx="214">
                  <c:v>92.067993699548055</c:v>
                </c:pt>
                <c:pt idx="215">
                  <c:v>92.067993699548055</c:v>
                </c:pt>
                <c:pt idx="216">
                  <c:v>92.067993699548055</c:v>
                </c:pt>
                <c:pt idx="217">
                  <c:v>92.067993699548055</c:v>
                </c:pt>
                <c:pt idx="218">
                  <c:v>92.067993699548055</c:v>
                </c:pt>
                <c:pt idx="219">
                  <c:v>92.067993699548055</c:v>
                </c:pt>
                <c:pt idx="220">
                  <c:v>92.067993699548055</c:v>
                </c:pt>
                <c:pt idx="221">
                  <c:v>92.067993699548055</c:v>
                </c:pt>
                <c:pt idx="222">
                  <c:v>92.067993699548055</c:v>
                </c:pt>
                <c:pt idx="223">
                  <c:v>92.067993699548055</c:v>
                </c:pt>
                <c:pt idx="224">
                  <c:v>92.067993699548055</c:v>
                </c:pt>
                <c:pt idx="225">
                  <c:v>92.067993699548055</c:v>
                </c:pt>
                <c:pt idx="226">
                  <c:v>92.067993699548055</c:v>
                </c:pt>
                <c:pt idx="227">
                  <c:v>92.067993699548055</c:v>
                </c:pt>
                <c:pt idx="228">
                  <c:v>92.067993699548055</c:v>
                </c:pt>
                <c:pt idx="229">
                  <c:v>92.067993699548055</c:v>
                </c:pt>
                <c:pt idx="230">
                  <c:v>92.067993699548055</c:v>
                </c:pt>
                <c:pt idx="231">
                  <c:v>92.067993699548055</c:v>
                </c:pt>
                <c:pt idx="232">
                  <c:v>92.067993699548055</c:v>
                </c:pt>
                <c:pt idx="233">
                  <c:v>92.067993699548055</c:v>
                </c:pt>
                <c:pt idx="234">
                  <c:v>92.067993699548055</c:v>
                </c:pt>
                <c:pt idx="235">
                  <c:v>92.067993699548055</c:v>
                </c:pt>
                <c:pt idx="236">
                  <c:v>92.067993699548055</c:v>
                </c:pt>
                <c:pt idx="237">
                  <c:v>92.067993699548055</c:v>
                </c:pt>
                <c:pt idx="238">
                  <c:v>92.067993699548055</c:v>
                </c:pt>
                <c:pt idx="239">
                  <c:v>92.067993699548055</c:v>
                </c:pt>
                <c:pt idx="240">
                  <c:v>92.067993699548055</c:v>
                </c:pt>
                <c:pt idx="241">
                  <c:v>92.067993699548055</c:v>
                </c:pt>
                <c:pt idx="242">
                  <c:v>92.067993699548055</c:v>
                </c:pt>
                <c:pt idx="243">
                  <c:v>92.067993699548055</c:v>
                </c:pt>
                <c:pt idx="244">
                  <c:v>92.067993699548055</c:v>
                </c:pt>
                <c:pt idx="245">
                  <c:v>118.76239974394448</c:v>
                </c:pt>
                <c:pt idx="246">
                  <c:v>118.76239974394448</c:v>
                </c:pt>
                <c:pt idx="247">
                  <c:v>118.76239974394448</c:v>
                </c:pt>
                <c:pt idx="248">
                  <c:v>118.76239974394448</c:v>
                </c:pt>
                <c:pt idx="249">
                  <c:v>118.76239974394448</c:v>
                </c:pt>
                <c:pt idx="250">
                  <c:v>118.76239974394448</c:v>
                </c:pt>
                <c:pt idx="251">
                  <c:v>118.76239974394448</c:v>
                </c:pt>
                <c:pt idx="252">
                  <c:v>118.76239974394448</c:v>
                </c:pt>
                <c:pt idx="253">
                  <c:v>118.76239974394448</c:v>
                </c:pt>
                <c:pt idx="254">
                  <c:v>118.76239974394448</c:v>
                </c:pt>
                <c:pt idx="255">
                  <c:v>118.76239974394448</c:v>
                </c:pt>
                <c:pt idx="256">
                  <c:v>118.76239974394448</c:v>
                </c:pt>
                <c:pt idx="257">
                  <c:v>118.76239974394448</c:v>
                </c:pt>
                <c:pt idx="258">
                  <c:v>118.76239974394448</c:v>
                </c:pt>
                <c:pt idx="259">
                  <c:v>118.76239974394448</c:v>
                </c:pt>
                <c:pt idx="260">
                  <c:v>118.76239974394448</c:v>
                </c:pt>
                <c:pt idx="261">
                  <c:v>118.76239974394448</c:v>
                </c:pt>
                <c:pt idx="262">
                  <c:v>118.76239974394448</c:v>
                </c:pt>
                <c:pt idx="263">
                  <c:v>118.76239974394448</c:v>
                </c:pt>
                <c:pt idx="264">
                  <c:v>118.76239974394448</c:v>
                </c:pt>
                <c:pt idx="265">
                  <c:v>118.76239974394448</c:v>
                </c:pt>
                <c:pt idx="266">
                  <c:v>118.76239974394448</c:v>
                </c:pt>
                <c:pt idx="267">
                  <c:v>118.76239974394448</c:v>
                </c:pt>
                <c:pt idx="268">
                  <c:v>118.76239974394448</c:v>
                </c:pt>
                <c:pt idx="269">
                  <c:v>118.76239974394448</c:v>
                </c:pt>
                <c:pt idx="270">
                  <c:v>118.76239974394448</c:v>
                </c:pt>
                <c:pt idx="271">
                  <c:v>118.76239974394448</c:v>
                </c:pt>
                <c:pt idx="272">
                  <c:v>118.76239974394448</c:v>
                </c:pt>
                <c:pt idx="273">
                  <c:v>139.10652927703509</c:v>
                </c:pt>
                <c:pt idx="274">
                  <c:v>139.10652927703509</c:v>
                </c:pt>
                <c:pt idx="275">
                  <c:v>139.10652927703509</c:v>
                </c:pt>
                <c:pt idx="276">
                  <c:v>139.10652927703509</c:v>
                </c:pt>
                <c:pt idx="277">
                  <c:v>139.10652927703509</c:v>
                </c:pt>
                <c:pt idx="278">
                  <c:v>139.10652927703509</c:v>
                </c:pt>
                <c:pt idx="279">
                  <c:v>139.10652927703509</c:v>
                </c:pt>
                <c:pt idx="280">
                  <c:v>139.10652927703509</c:v>
                </c:pt>
                <c:pt idx="281">
                  <c:v>139.10652927703509</c:v>
                </c:pt>
                <c:pt idx="282">
                  <c:v>139.10652927703509</c:v>
                </c:pt>
                <c:pt idx="283">
                  <c:v>139.10652927703509</c:v>
                </c:pt>
                <c:pt idx="284">
                  <c:v>139.10652927703509</c:v>
                </c:pt>
                <c:pt idx="285">
                  <c:v>139.10652927703509</c:v>
                </c:pt>
                <c:pt idx="286">
                  <c:v>139.10652927703509</c:v>
                </c:pt>
                <c:pt idx="287">
                  <c:v>139.10652927703509</c:v>
                </c:pt>
                <c:pt idx="288">
                  <c:v>139.10652927703509</c:v>
                </c:pt>
                <c:pt idx="289">
                  <c:v>139.10652927703509</c:v>
                </c:pt>
                <c:pt idx="290">
                  <c:v>139.10652927703509</c:v>
                </c:pt>
                <c:pt idx="291">
                  <c:v>139.10652927703509</c:v>
                </c:pt>
                <c:pt idx="292">
                  <c:v>139.10652927703509</c:v>
                </c:pt>
                <c:pt idx="293">
                  <c:v>139.10652927703509</c:v>
                </c:pt>
                <c:pt idx="294">
                  <c:v>139.10652927703509</c:v>
                </c:pt>
                <c:pt idx="295">
                  <c:v>139.10652927703509</c:v>
                </c:pt>
                <c:pt idx="296">
                  <c:v>139.10652927703509</c:v>
                </c:pt>
                <c:pt idx="297">
                  <c:v>139.10652927703509</c:v>
                </c:pt>
                <c:pt idx="298">
                  <c:v>139.10652927703509</c:v>
                </c:pt>
                <c:pt idx="299">
                  <c:v>139.10652927703509</c:v>
                </c:pt>
                <c:pt idx="300">
                  <c:v>139.10652927703509</c:v>
                </c:pt>
                <c:pt idx="301">
                  <c:v>139.10652927703509</c:v>
                </c:pt>
                <c:pt idx="302">
                  <c:v>139.10652927703509</c:v>
                </c:pt>
                <c:pt idx="303">
                  <c:v>139.10652927703509</c:v>
                </c:pt>
                <c:pt idx="304">
                  <c:v>161.25410292974746</c:v>
                </c:pt>
                <c:pt idx="305">
                  <c:v>161.25410292974746</c:v>
                </c:pt>
                <c:pt idx="306">
                  <c:v>161.25410292974746</c:v>
                </c:pt>
                <c:pt idx="307">
                  <c:v>161.25410292974746</c:v>
                </c:pt>
                <c:pt idx="308">
                  <c:v>161.25410292974746</c:v>
                </c:pt>
                <c:pt idx="309">
                  <c:v>161.25410292974746</c:v>
                </c:pt>
                <c:pt idx="310">
                  <c:v>161.25410292974746</c:v>
                </c:pt>
                <c:pt idx="311">
                  <c:v>161.25410292974746</c:v>
                </c:pt>
                <c:pt idx="312">
                  <c:v>161.25410292974746</c:v>
                </c:pt>
                <c:pt idx="313">
                  <c:v>161.25410292974746</c:v>
                </c:pt>
                <c:pt idx="314">
                  <c:v>161.25410292974746</c:v>
                </c:pt>
                <c:pt idx="315">
                  <c:v>161.25410292974746</c:v>
                </c:pt>
                <c:pt idx="316">
                  <c:v>161.25410292974746</c:v>
                </c:pt>
                <c:pt idx="317">
                  <c:v>161.25410292974746</c:v>
                </c:pt>
                <c:pt idx="318">
                  <c:v>161.25410292974746</c:v>
                </c:pt>
                <c:pt idx="319">
                  <c:v>161.25410292974746</c:v>
                </c:pt>
                <c:pt idx="320">
                  <c:v>161.25410292974746</c:v>
                </c:pt>
                <c:pt idx="321">
                  <c:v>161.25410292974746</c:v>
                </c:pt>
                <c:pt idx="322">
                  <c:v>161.25410292974746</c:v>
                </c:pt>
                <c:pt idx="323">
                  <c:v>161.25410292974746</c:v>
                </c:pt>
                <c:pt idx="324">
                  <c:v>161.25410292974746</c:v>
                </c:pt>
                <c:pt idx="325">
                  <c:v>161.25410292974746</c:v>
                </c:pt>
                <c:pt idx="326">
                  <c:v>161.25410292974746</c:v>
                </c:pt>
                <c:pt idx="327">
                  <c:v>161.25410292974746</c:v>
                </c:pt>
                <c:pt idx="328">
                  <c:v>161.25410292974746</c:v>
                </c:pt>
                <c:pt idx="329">
                  <c:v>161.25410292974746</c:v>
                </c:pt>
                <c:pt idx="330">
                  <c:v>161.25410292974746</c:v>
                </c:pt>
                <c:pt idx="331">
                  <c:v>161.25410292974746</c:v>
                </c:pt>
                <c:pt idx="332">
                  <c:v>161.25410292974746</c:v>
                </c:pt>
                <c:pt idx="333">
                  <c:v>161.25410292974746</c:v>
                </c:pt>
                <c:pt idx="334">
                  <c:v>188.53500601430525</c:v>
                </c:pt>
                <c:pt idx="335">
                  <c:v>188.53500601430525</c:v>
                </c:pt>
                <c:pt idx="336">
                  <c:v>188.53500601430525</c:v>
                </c:pt>
                <c:pt idx="337">
                  <c:v>188.53500601430525</c:v>
                </c:pt>
                <c:pt idx="338">
                  <c:v>188.53500601430525</c:v>
                </c:pt>
                <c:pt idx="339">
                  <c:v>188.53500601430525</c:v>
                </c:pt>
                <c:pt idx="340">
                  <c:v>188.53500601430525</c:v>
                </c:pt>
                <c:pt idx="341">
                  <c:v>188.53500601430525</c:v>
                </c:pt>
                <c:pt idx="342">
                  <c:v>188.53500601430525</c:v>
                </c:pt>
                <c:pt idx="343">
                  <c:v>188.53500601430525</c:v>
                </c:pt>
                <c:pt idx="344">
                  <c:v>188.53500601430525</c:v>
                </c:pt>
                <c:pt idx="345">
                  <c:v>188.53500601430525</c:v>
                </c:pt>
                <c:pt idx="346">
                  <c:v>188.53500601430525</c:v>
                </c:pt>
                <c:pt idx="347">
                  <c:v>188.53500601430525</c:v>
                </c:pt>
                <c:pt idx="348">
                  <c:v>188.53500601430525</c:v>
                </c:pt>
                <c:pt idx="349">
                  <c:v>188.53500601430525</c:v>
                </c:pt>
                <c:pt idx="350">
                  <c:v>188.53500601430525</c:v>
                </c:pt>
                <c:pt idx="351">
                  <c:v>188.53500601430525</c:v>
                </c:pt>
                <c:pt idx="352">
                  <c:v>188.53500601430525</c:v>
                </c:pt>
                <c:pt idx="353">
                  <c:v>188.53500601430525</c:v>
                </c:pt>
                <c:pt idx="354">
                  <c:v>188.53500601430525</c:v>
                </c:pt>
                <c:pt idx="355">
                  <c:v>188.53500601430525</c:v>
                </c:pt>
                <c:pt idx="356">
                  <c:v>188.53500601430525</c:v>
                </c:pt>
                <c:pt idx="357">
                  <c:v>188.53500601430525</c:v>
                </c:pt>
                <c:pt idx="358">
                  <c:v>188.53500601430525</c:v>
                </c:pt>
                <c:pt idx="359">
                  <c:v>188.53500601430525</c:v>
                </c:pt>
                <c:pt idx="360">
                  <c:v>188.53500601430525</c:v>
                </c:pt>
                <c:pt idx="361">
                  <c:v>188.53500601430525</c:v>
                </c:pt>
                <c:pt idx="362">
                  <c:v>188.53500601430525</c:v>
                </c:pt>
                <c:pt idx="363">
                  <c:v>188.53500601430525</c:v>
                </c:pt>
                <c:pt idx="364">
                  <c:v>188.53500601430525</c:v>
                </c:pt>
                <c:pt idx="365">
                  <c:v>193.62149049757886</c:v>
                </c:pt>
                <c:pt idx="366">
                  <c:v>193.62149049757886</c:v>
                </c:pt>
                <c:pt idx="367">
                  <c:v>193.62149049757886</c:v>
                </c:pt>
                <c:pt idx="368">
                  <c:v>193.62149049757886</c:v>
                </c:pt>
                <c:pt idx="369">
                  <c:v>193.62149049757886</c:v>
                </c:pt>
                <c:pt idx="370">
                  <c:v>193.62149049757886</c:v>
                </c:pt>
                <c:pt idx="371">
                  <c:v>193.62149049757886</c:v>
                </c:pt>
                <c:pt idx="372">
                  <c:v>193.62149049757886</c:v>
                </c:pt>
                <c:pt idx="373">
                  <c:v>193.62149049757886</c:v>
                </c:pt>
                <c:pt idx="374">
                  <c:v>193.62149049757886</c:v>
                </c:pt>
                <c:pt idx="375">
                  <c:v>193.62149049757886</c:v>
                </c:pt>
                <c:pt idx="376">
                  <c:v>193.62149049757886</c:v>
                </c:pt>
                <c:pt idx="377">
                  <c:v>193.62149049757886</c:v>
                </c:pt>
                <c:pt idx="378">
                  <c:v>193.62149049757886</c:v>
                </c:pt>
                <c:pt idx="379">
                  <c:v>193.62149049757886</c:v>
                </c:pt>
                <c:pt idx="380">
                  <c:v>193.62149049757886</c:v>
                </c:pt>
                <c:pt idx="381">
                  <c:v>193.62149049757886</c:v>
                </c:pt>
                <c:pt idx="382">
                  <c:v>193.62149049757886</c:v>
                </c:pt>
                <c:pt idx="383">
                  <c:v>193.62149049757886</c:v>
                </c:pt>
                <c:pt idx="384">
                  <c:v>193.62149049757886</c:v>
                </c:pt>
                <c:pt idx="385">
                  <c:v>193.62149049757886</c:v>
                </c:pt>
                <c:pt idx="386">
                  <c:v>193.62149049757886</c:v>
                </c:pt>
                <c:pt idx="387">
                  <c:v>193.62149049757886</c:v>
                </c:pt>
                <c:pt idx="388">
                  <c:v>193.62149049757886</c:v>
                </c:pt>
                <c:pt idx="389">
                  <c:v>193.62149049757886</c:v>
                </c:pt>
                <c:pt idx="390">
                  <c:v>193.62149049757886</c:v>
                </c:pt>
                <c:pt idx="391">
                  <c:v>193.62149049757886</c:v>
                </c:pt>
                <c:pt idx="392">
                  <c:v>193.62149049757886</c:v>
                </c:pt>
                <c:pt idx="393">
                  <c:v>193.62149049757886</c:v>
                </c:pt>
                <c:pt idx="394">
                  <c:v>193.62149049757886</c:v>
                </c:pt>
                <c:pt idx="395">
                  <c:v>200.32198172782029</c:v>
                </c:pt>
                <c:pt idx="396">
                  <c:v>200.32198172782029</c:v>
                </c:pt>
                <c:pt idx="397">
                  <c:v>200.32198172782029</c:v>
                </c:pt>
                <c:pt idx="398">
                  <c:v>200.32198172782029</c:v>
                </c:pt>
                <c:pt idx="399">
                  <c:v>200.32198172782029</c:v>
                </c:pt>
                <c:pt idx="400">
                  <c:v>200.32198172782029</c:v>
                </c:pt>
                <c:pt idx="401">
                  <c:v>200.32198172782029</c:v>
                </c:pt>
                <c:pt idx="402">
                  <c:v>200.32198172782029</c:v>
                </c:pt>
                <c:pt idx="403">
                  <c:v>200.32198172782029</c:v>
                </c:pt>
                <c:pt idx="404">
                  <c:v>200.32198172782029</c:v>
                </c:pt>
                <c:pt idx="405">
                  <c:v>200.32198172782029</c:v>
                </c:pt>
                <c:pt idx="406">
                  <c:v>200.32198172782029</c:v>
                </c:pt>
                <c:pt idx="407">
                  <c:v>200.32198172782029</c:v>
                </c:pt>
                <c:pt idx="408">
                  <c:v>200.32198172782029</c:v>
                </c:pt>
                <c:pt idx="409">
                  <c:v>200.32198172782029</c:v>
                </c:pt>
                <c:pt idx="410">
                  <c:v>200.32198172782029</c:v>
                </c:pt>
                <c:pt idx="411">
                  <c:v>200.32198172782029</c:v>
                </c:pt>
                <c:pt idx="412">
                  <c:v>200.32198172782029</c:v>
                </c:pt>
                <c:pt idx="413">
                  <c:v>200.32198172782029</c:v>
                </c:pt>
                <c:pt idx="414">
                  <c:v>200.32198172782029</c:v>
                </c:pt>
                <c:pt idx="415">
                  <c:v>200.32198172782029</c:v>
                </c:pt>
                <c:pt idx="416">
                  <c:v>200.32198172782029</c:v>
                </c:pt>
                <c:pt idx="417">
                  <c:v>200.32198172782029</c:v>
                </c:pt>
                <c:pt idx="418">
                  <c:v>200.32198172782029</c:v>
                </c:pt>
                <c:pt idx="419">
                  <c:v>200.32198172782029</c:v>
                </c:pt>
                <c:pt idx="420">
                  <c:v>200.32198172782029</c:v>
                </c:pt>
                <c:pt idx="421">
                  <c:v>200.32198172782029</c:v>
                </c:pt>
                <c:pt idx="422">
                  <c:v>200.32198172782029</c:v>
                </c:pt>
                <c:pt idx="423">
                  <c:v>200.32198172782029</c:v>
                </c:pt>
                <c:pt idx="424">
                  <c:v>200.32198172782029</c:v>
                </c:pt>
                <c:pt idx="425">
                  <c:v>200.32198172782029</c:v>
                </c:pt>
                <c:pt idx="426">
                  <c:v>185.69615427437537</c:v>
                </c:pt>
                <c:pt idx="427">
                  <c:v>185.69615427437537</c:v>
                </c:pt>
                <c:pt idx="428">
                  <c:v>185.69615427437537</c:v>
                </c:pt>
                <c:pt idx="429">
                  <c:v>185.69615427437537</c:v>
                </c:pt>
                <c:pt idx="430">
                  <c:v>185.69615427437537</c:v>
                </c:pt>
                <c:pt idx="431">
                  <c:v>185.69615427437537</c:v>
                </c:pt>
                <c:pt idx="432">
                  <c:v>185.69615427437537</c:v>
                </c:pt>
                <c:pt idx="433">
                  <c:v>185.69615427437537</c:v>
                </c:pt>
                <c:pt idx="434">
                  <c:v>185.69615427437537</c:v>
                </c:pt>
                <c:pt idx="435">
                  <c:v>185.69615427437537</c:v>
                </c:pt>
                <c:pt idx="436">
                  <c:v>185.69615427437537</c:v>
                </c:pt>
                <c:pt idx="437">
                  <c:v>185.69615427437537</c:v>
                </c:pt>
                <c:pt idx="438">
                  <c:v>185.69615427437537</c:v>
                </c:pt>
                <c:pt idx="439">
                  <c:v>185.69615427437537</c:v>
                </c:pt>
                <c:pt idx="440">
                  <c:v>185.69615427437537</c:v>
                </c:pt>
                <c:pt idx="441">
                  <c:v>185.69615427437537</c:v>
                </c:pt>
                <c:pt idx="442">
                  <c:v>185.69615427437537</c:v>
                </c:pt>
                <c:pt idx="443">
                  <c:v>185.69615427437537</c:v>
                </c:pt>
                <c:pt idx="444">
                  <c:v>185.69615427437537</c:v>
                </c:pt>
                <c:pt idx="445">
                  <c:v>185.69615427437537</c:v>
                </c:pt>
                <c:pt idx="446">
                  <c:v>185.69615427437537</c:v>
                </c:pt>
                <c:pt idx="447">
                  <c:v>185.69615427437537</c:v>
                </c:pt>
                <c:pt idx="448">
                  <c:v>185.69615427437537</c:v>
                </c:pt>
                <c:pt idx="449">
                  <c:v>185.69615427437537</c:v>
                </c:pt>
                <c:pt idx="450">
                  <c:v>185.69615427437537</c:v>
                </c:pt>
                <c:pt idx="451">
                  <c:v>185.69615427437537</c:v>
                </c:pt>
                <c:pt idx="452">
                  <c:v>185.69615427437537</c:v>
                </c:pt>
                <c:pt idx="453">
                  <c:v>185.69615427437537</c:v>
                </c:pt>
                <c:pt idx="454">
                  <c:v>185.69615427437537</c:v>
                </c:pt>
                <c:pt idx="455">
                  <c:v>185.69615427437537</c:v>
                </c:pt>
                <c:pt idx="456">
                  <c:v>185.69615427437537</c:v>
                </c:pt>
                <c:pt idx="457">
                  <c:v>157.81226091141519</c:v>
                </c:pt>
                <c:pt idx="458">
                  <c:v>157.81226091141519</c:v>
                </c:pt>
                <c:pt idx="459">
                  <c:v>157.81226091141519</c:v>
                </c:pt>
                <c:pt idx="460">
                  <c:v>157.81226091141519</c:v>
                </c:pt>
                <c:pt idx="461">
                  <c:v>157.81226091141519</c:v>
                </c:pt>
                <c:pt idx="462">
                  <c:v>157.81226091141519</c:v>
                </c:pt>
                <c:pt idx="463">
                  <c:v>157.81226091141519</c:v>
                </c:pt>
                <c:pt idx="464">
                  <c:v>157.81226091141519</c:v>
                </c:pt>
                <c:pt idx="465">
                  <c:v>157.81226091141519</c:v>
                </c:pt>
                <c:pt idx="466">
                  <c:v>157.81226091141519</c:v>
                </c:pt>
                <c:pt idx="467">
                  <c:v>157.81226091141519</c:v>
                </c:pt>
                <c:pt idx="468">
                  <c:v>157.81226091141519</c:v>
                </c:pt>
                <c:pt idx="469">
                  <c:v>157.81226091141519</c:v>
                </c:pt>
                <c:pt idx="470">
                  <c:v>157.81226091141519</c:v>
                </c:pt>
                <c:pt idx="471">
                  <c:v>157.81226091141519</c:v>
                </c:pt>
                <c:pt idx="472">
                  <c:v>157.81226091141519</c:v>
                </c:pt>
                <c:pt idx="473">
                  <c:v>157.81226091141519</c:v>
                </c:pt>
                <c:pt idx="474">
                  <c:v>157.81226091141519</c:v>
                </c:pt>
                <c:pt idx="475">
                  <c:v>157.81226091141519</c:v>
                </c:pt>
                <c:pt idx="476">
                  <c:v>157.81226091141519</c:v>
                </c:pt>
                <c:pt idx="477">
                  <c:v>157.81226091141519</c:v>
                </c:pt>
                <c:pt idx="478">
                  <c:v>157.81226091141519</c:v>
                </c:pt>
                <c:pt idx="479">
                  <c:v>157.81226091141519</c:v>
                </c:pt>
                <c:pt idx="480">
                  <c:v>157.81226091141519</c:v>
                </c:pt>
                <c:pt idx="481">
                  <c:v>157.81226091141519</c:v>
                </c:pt>
                <c:pt idx="482">
                  <c:v>157.81226091141519</c:v>
                </c:pt>
                <c:pt idx="483">
                  <c:v>157.81226091141519</c:v>
                </c:pt>
                <c:pt idx="484">
                  <c:v>157.81226091141519</c:v>
                </c:pt>
                <c:pt idx="485">
                  <c:v>157.81226091141519</c:v>
                </c:pt>
                <c:pt idx="486">
                  <c:v>157.81226091141519</c:v>
                </c:pt>
                <c:pt idx="487">
                  <c:v>120.54686636297106</c:v>
                </c:pt>
                <c:pt idx="488">
                  <c:v>120.54686636297106</c:v>
                </c:pt>
                <c:pt idx="489">
                  <c:v>120.54686636297106</c:v>
                </c:pt>
                <c:pt idx="490">
                  <c:v>120.54686636297106</c:v>
                </c:pt>
                <c:pt idx="491">
                  <c:v>120.54686636297106</c:v>
                </c:pt>
                <c:pt idx="492">
                  <c:v>120.54686636297106</c:v>
                </c:pt>
                <c:pt idx="493">
                  <c:v>120.54686636297106</c:v>
                </c:pt>
                <c:pt idx="494">
                  <c:v>120.54686636297106</c:v>
                </c:pt>
                <c:pt idx="495">
                  <c:v>120.54686636297106</c:v>
                </c:pt>
                <c:pt idx="496">
                  <c:v>120.54686636297106</c:v>
                </c:pt>
                <c:pt idx="497">
                  <c:v>120.54686636297106</c:v>
                </c:pt>
                <c:pt idx="498">
                  <c:v>120.54686636297106</c:v>
                </c:pt>
                <c:pt idx="499">
                  <c:v>120.54686636297106</c:v>
                </c:pt>
                <c:pt idx="500">
                  <c:v>120.54686636297106</c:v>
                </c:pt>
                <c:pt idx="501">
                  <c:v>120.54686636297106</c:v>
                </c:pt>
                <c:pt idx="502">
                  <c:v>120.54686636297106</c:v>
                </c:pt>
                <c:pt idx="503">
                  <c:v>120.54686636297106</c:v>
                </c:pt>
                <c:pt idx="504">
                  <c:v>120.54686636297106</c:v>
                </c:pt>
                <c:pt idx="505">
                  <c:v>120.54686636297106</c:v>
                </c:pt>
                <c:pt idx="506">
                  <c:v>120.54686636297106</c:v>
                </c:pt>
                <c:pt idx="507">
                  <c:v>120.54686636297106</c:v>
                </c:pt>
                <c:pt idx="508">
                  <c:v>120.54686636297106</c:v>
                </c:pt>
                <c:pt idx="509">
                  <c:v>120.54686636297106</c:v>
                </c:pt>
                <c:pt idx="510">
                  <c:v>120.54686636297106</c:v>
                </c:pt>
                <c:pt idx="511">
                  <c:v>120.54686636297106</c:v>
                </c:pt>
                <c:pt idx="512">
                  <c:v>120.54686636297106</c:v>
                </c:pt>
                <c:pt idx="513">
                  <c:v>120.54686636297106</c:v>
                </c:pt>
                <c:pt idx="514">
                  <c:v>120.54686636297106</c:v>
                </c:pt>
                <c:pt idx="515">
                  <c:v>120.54686636297106</c:v>
                </c:pt>
                <c:pt idx="516">
                  <c:v>120.54686636297106</c:v>
                </c:pt>
                <c:pt idx="517">
                  <c:v>120.54686636297106</c:v>
                </c:pt>
                <c:pt idx="518">
                  <c:v>91.218224060623271</c:v>
                </c:pt>
                <c:pt idx="519">
                  <c:v>91.218224060623271</c:v>
                </c:pt>
                <c:pt idx="520">
                  <c:v>91.218224060623271</c:v>
                </c:pt>
                <c:pt idx="521">
                  <c:v>91.218224060623271</c:v>
                </c:pt>
                <c:pt idx="522">
                  <c:v>91.218224060623271</c:v>
                </c:pt>
                <c:pt idx="523">
                  <c:v>91.218224060623271</c:v>
                </c:pt>
                <c:pt idx="524">
                  <c:v>91.218224060623271</c:v>
                </c:pt>
                <c:pt idx="525">
                  <c:v>91.218224060623271</c:v>
                </c:pt>
                <c:pt idx="526">
                  <c:v>91.218224060623271</c:v>
                </c:pt>
                <c:pt idx="527">
                  <c:v>91.218224060623271</c:v>
                </c:pt>
                <c:pt idx="528">
                  <c:v>91.218224060623271</c:v>
                </c:pt>
                <c:pt idx="529">
                  <c:v>91.218224060623271</c:v>
                </c:pt>
                <c:pt idx="530">
                  <c:v>91.218224060623271</c:v>
                </c:pt>
                <c:pt idx="531">
                  <c:v>91.218224060623271</c:v>
                </c:pt>
                <c:pt idx="532">
                  <c:v>91.218224060623271</c:v>
                </c:pt>
                <c:pt idx="533">
                  <c:v>91.218224060623271</c:v>
                </c:pt>
                <c:pt idx="534">
                  <c:v>91.218224060623271</c:v>
                </c:pt>
                <c:pt idx="535">
                  <c:v>91.218224060623271</c:v>
                </c:pt>
                <c:pt idx="536">
                  <c:v>91.218224060623271</c:v>
                </c:pt>
                <c:pt idx="537">
                  <c:v>91.218224060623271</c:v>
                </c:pt>
                <c:pt idx="538">
                  <c:v>91.218224060623271</c:v>
                </c:pt>
                <c:pt idx="539">
                  <c:v>91.218224060623271</c:v>
                </c:pt>
                <c:pt idx="540">
                  <c:v>91.218224060623271</c:v>
                </c:pt>
                <c:pt idx="541">
                  <c:v>91.218224060623271</c:v>
                </c:pt>
                <c:pt idx="542">
                  <c:v>91.218224060623271</c:v>
                </c:pt>
                <c:pt idx="543">
                  <c:v>91.218224060623271</c:v>
                </c:pt>
                <c:pt idx="544">
                  <c:v>91.218224060623271</c:v>
                </c:pt>
                <c:pt idx="545">
                  <c:v>91.218224060623271</c:v>
                </c:pt>
                <c:pt idx="546">
                  <c:v>91.218224060623271</c:v>
                </c:pt>
                <c:pt idx="547">
                  <c:v>91.218224060623271</c:v>
                </c:pt>
                <c:pt idx="548">
                  <c:v>76.368428472871472</c:v>
                </c:pt>
                <c:pt idx="549">
                  <c:v>76.368428472871472</c:v>
                </c:pt>
                <c:pt idx="550">
                  <c:v>76.368428472871472</c:v>
                </c:pt>
                <c:pt idx="551">
                  <c:v>76.368428472871472</c:v>
                </c:pt>
                <c:pt idx="552">
                  <c:v>76.368428472871472</c:v>
                </c:pt>
                <c:pt idx="553">
                  <c:v>76.368428472871472</c:v>
                </c:pt>
                <c:pt idx="554">
                  <c:v>76.368428472871472</c:v>
                </c:pt>
                <c:pt idx="555">
                  <c:v>76.368428472871472</c:v>
                </c:pt>
                <c:pt idx="556">
                  <c:v>76.368428472871472</c:v>
                </c:pt>
                <c:pt idx="557">
                  <c:v>76.368428472871472</c:v>
                </c:pt>
                <c:pt idx="558">
                  <c:v>76.368428472871472</c:v>
                </c:pt>
                <c:pt idx="559">
                  <c:v>76.368428472871472</c:v>
                </c:pt>
                <c:pt idx="560">
                  <c:v>76.368428472871472</c:v>
                </c:pt>
                <c:pt idx="561">
                  <c:v>76.368428472871472</c:v>
                </c:pt>
                <c:pt idx="562">
                  <c:v>76.368428472871472</c:v>
                </c:pt>
                <c:pt idx="563">
                  <c:v>76.368428472871472</c:v>
                </c:pt>
                <c:pt idx="564">
                  <c:v>76.368428472871472</c:v>
                </c:pt>
                <c:pt idx="565">
                  <c:v>76.368428472871472</c:v>
                </c:pt>
                <c:pt idx="566">
                  <c:v>76.368428472871472</c:v>
                </c:pt>
                <c:pt idx="567">
                  <c:v>76.368428472871472</c:v>
                </c:pt>
                <c:pt idx="568">
                  <c:v>76.368428472871472</c:v>
                </c:pt>
                <c:pt idx="569">
                  <c:v>76.368428472871472</c:v>
                </c:pt>
                <c:pt idx="570">
                  <c:v>76.368428472871472</c:v>
                </c:pt>
                <c:pt idx="571">
                  <c:v>76.368428472871472</c:v>
                </c:pt>
                <c:pt idx="572">
                  <c:v>76.368428472871472</c:v>
                </c:pt>
                <c:pt idx="573">
                  <c:v>76.368428472871472</c:v>
                </c:pt>
                <c:pt idx="574">
                  <c:v>76.368428472871472</c:v>
                </c:pt>
                <c:pt idx="575">
                  <c:v>76.368428472871472</c:v>
                </c:pt>
                <c:pt idx="576">
                  <c:v>76.368428472871472</c:v>
                </c:pt>
                <c:pt idx="577">
                  <c:v>76.368428472871472</c:v>
                </c:pt>
                <c:pt idx="578">
                  <c:v>76.368428472871472</c:v>
                </c:pt>
                <c:pt idx="579">
                  <c:v>112.34807184063162</c:v>
                </c:pt>
                <c:pt idx="580">
                  <c:v>112.34807184063162</c:v>
                </c:pt>
                <c:pt idx="581">
                  <c:v>112.34807184063162</c:v>
                </c:pt>
                <c:pt idx="582">
                  <c:v>112.34807184063162</c:v>
                </c:pt>
                <c:pt idx="583">
                  <c:v>112.34807184063162</c:v>
                </c:pt>
                <c:pt idx="584">
                  <c:v>112.34807184063162</c:v>
                </c:pt>
                <c:pt idx="585">
                  <c:v>112.34807184063162</c:v>
                </c:pt>
                <c:pt idx="586">
                  <c:v>112.34807184063162</c:v>
                </c:pt>
                <c:pt idx="587">
                  <c:v>112.34807184063162</c:v>
                </c:pt>
                <c:pt idx="588">
                  <c:v>112.34807184063162</c:v>
                </c:pt>
                <c:pt idx="589">
                  <c:v>112.34807184063162</c:v>
                </c:pt>
                <c:pt idx="590">
                  <c:v>112.34807184063162</c:v>
                </c:pt>
                <c:pt idx="591">
                  <c:v>112.34807184063162</c:v>
                </c:pt>
                <c:pt idx="592">
                  <c:v>112.34807184063162</c:v>
                </c:pt>
                <c:pt idx="593">
                  <c:v>112.34807184063162</c:v>
                </c:pt>
                <c:pt idx="594">
                  <c:v>112.34807184063162</c:v>
                </c:pt>
                <c:pt idx="595">
                  <c:v>112.34807184063162</c:v>
                </c:pt>
                <c:pt idx="596">
                  <c:v>112.34807184063162</c:v>
                </c:pt>
                <c:pt idx="597">
                  <c:v>112.34807184063162</c:v>
                </c:pt>
                <c:pt idx="598">
                  <c:v>112.34807184063162</c:v>
                </c:pt>
                <c:pt idx="599">
                  <c:v>112.34807184063162</c:v>
                </c:pt>
                <c:pt idx="600">
                  <c:v>112.34807184063162</c:v>
                </c:pt>
                <c:pt idx="601">
                  <c:v>112.34807184063162</c:v>
                </c:pt>
                <c:pt idx="602">
                  <c:v>112.34807184063162</c:v>
                </c:pt>
                <c:pt idx="603">
                  <c:v>112.34807184063162</c:v>
                </c:pt>
                <c:pt idx="604">
                  <c:v>112.34807184063162</c:v>
                </c:pt>
                <c:pt idx="605">
                  <c:v>112.34807184063162</c:v>
                </c:pt>
                <c:pt idx="606">
                  <c:v>112.34807184063162</c:v>
                </c:pt>
                <c:pt idx="607">
                  <c:v>112.34807184063162</c:v>
                </c:pt>
                <c:pt idx="608">
                  <c:v>112.34807184063162</c:v>
                </c:pt>
                <c:pt idx="609">
                  <c:v>112.34807184063162</c:v>
                </c:pt>
                <c:pt idx="610">
                  <c:v>150.49448844659543</c:v>
                </c:pt>
                <c:pt idx="611">
                  <c:v>150.49448844659543</c:v>
                </c:pt>
                <c:pt idx="612">
                  <c:v>150.49448844659543</c:v>
                </c:pt>
                <c:pt idx="613">
                  <c:v>150.49448844659543</c:v>
                </c:pt>
                <c:pt idx="614">
                  <c:v>150.49448844659543</c:v>
                </c:pt>
                <c:pt idx="615">
                  <c:v>150.49448844659543</c:v>
                </c:pt>
                <c:pt idx="616">
                  <c:v>150.49448844659543</c:v>
                </c:pt>
                <c:pt idx="617">
                  <c:v>150.49448844659543</c:v>
                </c:pt>
                <c:pt idx="618">
                  <c:v>150.49448844659543</c:v>
                </c:pt>
                <c:pt idx="619">
                  <c:v>150.49448844659543</c:v>
                </c:pt>
                <c:pt idx="620">
                  <c:v>150.49448844659543</c:v>
                </c:pt>
                <c:pt idx="621">
                  <c:v>150.49448844659543</c:v>
                </c:pt>
                <c:pt idx="622">
                  <c:v>150.49448844659543</c:v>
                </c:pt>
                <c:pt idx="623">
                  <c:v>150.49448844659543</c:v>
                </c:pt>
                <c:pt idx="624">
                  <c:v>150.49448844659543</c:v>
                </c:pt>
                <c:pt idx="625">
                  <c:v>150.49448844659543</c:v>
                </c:pt>
                <c:pt idx="626">
                  <c:v>150.49448844659543</c:v>
                </c:pt>
                <c:pt idx="627">
                  <c:v>150.49448844659543</c:v>
                </c:pt>
                <c:pt idx="628">
                  <c:v>150.49448844659543</c:v>
                </c:pt>
                <c:pt idx="629">
                  <c:v>150.49448844659543</c:v>
                </c:pt>
                <c:pt idx="630">
                  <c:v>150.49448844659543</c:v>
                </c:pt>
                <c:pt idx="631">
                  <c:v>150.49448844659543</c:v>
                </c:pt>
                <c:pt idx="632">
                  <c:v>150.49448844659543</c:v>
                </c:pt>
                <c:pt idx="633">
                  <c:v>150.49448844659543</c:v>
                </c:pt>
                <c:pt idx="634">
                  <c:v>150.49448844659543</c:v>
                </c:pt>
                <c:pt idx="635">
                  <c:v>150.49448844659543</c:v>
                </c:pt>
                <c:pt idx="636">
                  <c:v>150.49448844659543</c:v>
                </c:pt>
                <c:pt idx="637">
                  <c:v>150.49448844659543</c:v>
                </c:pt>
                <c:pt idx="638">
                  <c:v>169.83085550335295</c:v>
                </c:pt>
                <c:pt idx="639">
                  <c:v>169.83085550335295</c:v>
                </c:pt>
                <c:pt idx="640">
                  <c:v>169.83085550335295</c:v>
                </c:pt>
                <c:pt idx="641">
                  <c:v>169.83085550335295</c:v>
                </c:pt>
                <c:pt idx="642">
                  <c:v>169.83085550335295</c:v>
                </c:pt>
                <c:pt idx="643">
                  <c:v>169.83085550335295</c:v>
                </c:pt>
                <c:pt idx="644">
                  <c:v>169.83085550335295</c:v>
                </c:pt>
                <c:pt idx="645">
                  <c:v>169.83085550335295</c:v>
                </c:pt>
                <c:pt idx="646">
                  <c:v>169.83085550335295</c:v>
                </c:pt>
                <c:pt idx="647">
                  <c:v>169.83085550335295</c:v>
                </c:pt>
                <c:pt idx="648">
                  <c:v>169.83085550335295</c:v>
                </c:pt>
                <c:pt idx="649">
                  <c:v>169.83085550335295</c:v>
                </c:pt>
                <c:pt idx="650">
                  <c:v>169.83085550335295</c:v>
                </c:pt>
                <c:pt idx="651">
                  <c:v>169.83085550335295</c:v>
                </c:pt>
                <c:pt idx="652">
                  <c:v>169.83085550335295</c:v>
                </c:pt>
                <c:pt idx="653">
                  <c:v>169.83085550335295</c:v>
                </c:pt>
                <c:pt idx="654">
                  <c:v>169.83085550335295</c:v>
                </c:pt>
                <c:pt idx="655">
                  <c:v>169.83085550335295</c:v>
                </c:pt>
                <c:pt idx="656">
                  <c:v>169.83085550335295</c:v>
                </c:pt>
                <c:pt idx="657">
                  <c:v>169.83085550335295</c:v>
                </c:pt>
                <c:pt idx="658">
                  <c:v>169.83085550335295</c:v>
                </c:pt>
                <c:pt idx="659">
                  <c:v>169.83085550335295</c:v>
                </c:pt>
                <c:pt idx="660">
                  <c:v>169.83085550335295</c:v>
                </c:pt>
                <c:pt idx="661">
                  <c:v>169.83085550335295</c:v>
                </c:pt>
                <c:pt idx="662">
                  <c:v>169.83085550335295</c:v>
                </c:pt>
                <c:pt idx="663">
                  <c:v>169.83085550335295</c:v>
                </c:pt>
                <c:pt idx="664">
                  <c:v>169.83085550335295</c:v>
                </c:pt>
                <c:pt idx="665">
                  <c:v>169.83085550335295</c:v>
                </c:pt>
                <c:pt idx="666">
                  <c:v>169.83085550335295</c:v>
                </c:pt>
                <c:pt idx="667">
                  <c:v>169.83085550335295</c:v>
                </c:pt>
                <c:pt idx="668">
                  <c:v>169.83085550335295</c:v>
                </c:pt>
                <c:pt idx="669">
                  <c:v>200.3711069030802</c:v>
                </c:pt>
                <c:pt idx="670">
                  <c:v>200.3711069030802</c:v>
                </c:pt>
                <c:pt idx="671">
                  <c:v>200.3711069030802</c:v>
                </c:pt>
                <c:pt idx="672">
                  <c:v>200.3711069030802</c:v>
                </c:pt>
                <c:pt idx="673">
                  <c:v>200.3711069030802</c:v>
                </c:pt>
                <c:pt idx="674">
                  <c:v>200.3711069030802</c:v>
                </c:pt>
                <c:pt idx="675">
                  <c:v>200.3711069030802</c:v>
                </c:pt>
                <c:pt idx="676">
                  <c:v>200.3711069030802</c:v>
                </c:pt>
                <c:pt idx="677">
                  <c:v>200.3711069030802</c:v>
                </c:pt>
                <c:pt idx="678">
                  <c:v>200.3711069030802</c:v>
                </c:pt>
                <c:pt idx="679">
                  <c:v>200.3711069030802</c:v>
                </c:pt>
                <c:pt idx="680">
                  <c:v>200.3711069030802</c:v>
                </c:pt>
                <c:pt idx="681">
                  <c:v>200.3711069030802</c:v>
                </c:pt>
                <c:pt idx="682">
                  <c:v>200.3711069030802</c:v>
                </c:pt>
                <c:pt idx="683">
                  <c:v>200.3711069030802</c:v>
                </c:pt>
                <c:pt idx="684">
                  <c:v>200.3711069030802</c:v>
                </c:pt>
                <c:pt idx="685">
                  <c:v>200.3711069030802</c:v>
                </c:pt>
                <c:pt idx="686">
                  <c:v>200.3711069030802</c:v>
                </c:pt>
                <c:pt idx="687">
                  <c:v>200.3711069030802</c:v>
                </c:pt>
                <c:pt idx="688">
                  <c:v>200.3711069030802</c:v>
                </c:pt>
                <c:pt idx="689">
                  <c:v>200.3711069030802</c:v>
                </c:pt>
                <c:pt idx="690">
                  <c:v>200.3711069030802</c:v>
                </c:pt>
                <c:pt idx="691">
                  <c:v>200.3711069030802</c:v>
                </c:pt>
                <c:pt idx="692">
                  <c:v>200.3711069030802</c:v>
                </c:pt>
                <c:pt idx="693">
                  <c:v>200.3711069030802</c:v>
                </c:pt>
                <c:pt idx="694">
                  <c:v>200.3711069030802</c:v>
                </c:pt>
                <c:pt idx="695">
                  <c:v>200.3711069030802</c:v>
                </c:pt>
                <c:pt idx="696">
                  <c:v>200.3711069030802</c:v>
                </c:pt>
                <c:pt idx="697">
                  <c:v>200.3711069030802</c:v>
                </c:pt>
                <c:pt idx="698">
                  <c:v>200.3711069030802</c:v>
                </c:pt>
                <c:pt idx="699">
                  <c:v>233.45493177946088</c:v>
                </c:pt>
                <c:pt idx="700">
                  <c:v>233.45493177946088</c:v>
                </c:pt>
                <c:pt idx="701">
                  <c:v>233.45493177946088</c:v>
                </c:pt>
                <c:pt idx="702">
                  <c:v>233.45493177946088</c:v>
                </c:pt>
                <c:pt idx="703">
                  <c:v>233.45493177946088</c:v>
                </c:pt>
                <c:pt idx="704">
                  <c:v>233.45493177946088</c:v>
                </c:pt>
                <c:pt idx="705">
                  <c:v>233.45493177946088</c:v>
                </c:pt>
                <c:pt idx="706">
                  <c:v>233.45493177946088</c:v>
                </c:pt>
                <c:pt idx="707">
                  <c:v>233.45493177946088</c:v>
                </c:pt>
                <c:pt idx="708">
                  <c:v>233.45493177946088</c:v>
                </c:pt>
                <c:pt idx="709">
                  <c:v>233.45493177946088</c:v>
                </c:pt>
                <c:pt idx="710">
                  <c:v>233.45493177946088</c:v>
                </c:pt>
                <c:pt idx="711">
                  <c:v>233.45493177946088</c:v>
                </c:pt>
                <c:pt idx="712">
                  <c:v>233.45493177946088</c:v>
                </c:pt>
                <c:pt idx="713">
                  <c:v>233.45493177946088</c:v>
                </c:pt>
                <c:pt idx="714">
                  <c:v>233.45493177946088</c:v>
                </c:pt>
                <c:pt idx="715">
                  <c:v>233.45493177946088</c:v>
                </c:pt>
                <c:pt idx="716">
                  <c:v>233.45493177946088</c:v>
                </c:pt>
                <c:pt idx="717">
                  <c:v>233.45493177946088</c:v>
                </c:pt>
                <c:pt idx="718">
                  <c:v>233.45493177946088</c:v>
                </c:pt>
                <c:pt idx="719">
                  <c:v>233.45493177946088</c:v>
                </c:pt>
                <c:pt idx="720">
                  <c:v>233.45493177946088</c:v>
                </c:pt>
                <c:pt idx="721">
                  <c:v>233.45493177946088</c:v>
                </c:pt>
                <c:pt idx="722">
                  <c:v>233.45493177946088</c:v>
                </c:pt>
                <c:pt idx="723">
                  <c:v>233.45493177946088</c:v>
                </c:pt>
                <c:pt idx="724">
                  <c:v>233.45493177946088</c:v>
                </c:pt>
                <c:pt idx="725">
                  <c:v>233.45493177946088</c:v>
                </c:pt>
                <c:pt idx="726">
                  <c:v>233.45493177946088</c:v>
                </c:pt>
                <c:pt idx="727">
                  <c:v>233.45493177946088</c:v>
                </c:pt>
                <c:pt idx="728">
                  <c:v>233.45493177946088</c:v>
                </c:pt>
                <c:pt idx="729">
                  <c:v>233.45493177946088</c:v>
                </c:pt>
                <c:pt idx="730">
                  <c:v>244.77613226444171</c:v>
                </c:pt>
                <c:pt idx="731">
                  <c:v>244.77613226444171</c:v>
                </c:pt>
                <c:pt idx="732">
                  <c:v>244.77613226444171</c:v>
                </c:pt>
                <c:pt idx="733">
                  <c:v>244.77613226444171</c:v>
                </c:pt>
                <c:pt idx="734">
                  <c:v>244.77613226444171</c:v>
                </c:pt>
                <c:pt idx="735">
                  <c:v>244.77613226444171</c:v>
                </c:pt>
                <c:pt idx="736">
                  <c:v>244.77613226444171</c:v>
                </c:pt>
                <c:pt idx="737">
                  <c:v>244.77613226444171</c:v>
                </c:pt>
                <c:pt idx="738">
                  <c:v>244.77613226444171</c:v>
                </c:pt>
                <c:pt idx="739">
                  <c:v>244.77613226444171</c:v>
                </c:pt>
                <c:pt idx="740">
                  <c:v>244.77613226444171</c:v>
                </c:pt>
                <c:pt idx="741">
                  <c:v>244.77613226444171</c:v>
                </c:pt>
                <c:pt idx="742">
                  <c:v>244.77613226444171</c:v>
                </c:pt>
                <c:pt idx="743">
                  <c:v>244.77613226444171</c:v>
                </c:pt>
                <c:pt idx="744">
                  <c:v>244.77613226444171</c:v>
                </c:pt>
                <c:pt idx="745">
                  <c:v>244.77613226444171</c:v>
                </c:pt>
                <c:pt idx="746">
                  <c:v>244.77613226444171</c:v>
                </c:pt>
                <c:pt idx="747">
                  <c:v>244.77613226444171</c:v>
                </c:pt>
                <c:pt idx="748">
                  <c:v>244.77613226444171</c:v>
                </c:pt>
                <c:pt idx="749">
                  <c:v>244.77613226444171</c:v>
                </c:pt>
                <c:pt idx="750">
                  <c:v>244.77613226444171</c:v>
                </c:pt>
                <c:pt idx="751">
                  <c:v>244.77613226444171</c:v>
                </c:pt>
                <c:pt idx="752">
                  <c:v>244.77613226444171</c:v>
                </c:pt>
                <c:pt idx="753">
                  <c:v>244.77613226444171</c:v>
                </c:pt>
                <c:pt idx="754">
                  <c:v>244.77613226444171</c:v>
                </c:pt>
                <c:pt idx="755">
                  <c:v>244.77613226444171</c:v>
                </c:pt>
                <c:pt idx="756">
                  <c:v>244.77613226444171</c:v>
                </c:pt>
                <c:pt idx="757">
                  <c:v>244.77613226444171</c:v>
                </c:pt>
                <c:pt idx="758">
                  <c:v>244.77613226444171</c:v>
                </c:pt>
                <c:pt idx="759">
                  <c:v>244.77613226444171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5'!$E$2:$E$762</c:f>
              <c:numCache>
                <c:formatCode>#,##0</c:formatCode>
                <c:ptCount val="761"/>
                <c:pt idx="0">
                  <c:v>147.87666700000003</c:v>
                </c:pt>
                <c:pt idx="1">
                  <c:v>151.50779699999998</c:v>
                </c:pt>
                <c:pt idx="2">
                  <c:v>156.54410505527832</c:v>
                </c:pt>
                <c:pt idx="3">
                  <c:v>156.54410505527832</c:v>
                </c:pt>
                <c:pt idx="4">
                  <c:v>156.54410505527832</c:v>
                </c:pt>
                <c:pt idx="5">
                  <c:v>156.54410505527832</c:v>
                </c:pt>
                <c:pt idx="6">
                  <c:v>133.16868500000001</c:v>
                </c:pt>
                <c:pt idx="7">
                  <c:v>123.673928</c:v>
                </c:pt>
                <c:pt idx="8">
                  <c:v>112.13243199999998</c:v>
                </c:pt>
                <c:pt idx="9">
                  <c:v>123.059034</c:v>
                </c:pt>
                <c:pt idx="10">
                  <c:v>156.54410505527832</c:v>
                </c:pt>
                <c:pt idx="11">
                  <c:v>153.54156099999997</c:v>
                </c:pt>
                <c:pt idx="12">
                  <c:v>156.54410505527832</c:v>
                </c:pt>
                <c:pt idx="13">
                  <c:v>156.54410505527832</c:v>
                </c:pt>
                <c:pt idx="14">
                  <c:v>156.48865700000002</c:v>
                </c:pt>
                <c:pt idx="15">
                  <c:v>146.635043</c:v>
                </c:pt>
                <c:pt idx="16">
                  <c:v>156.54410505527832</c:v>
                </c:pt>
                <c:pt idx="17">
                  <c:v>143.64317499999999</c:v>
                </c:pt>
                <c:pt idx="18">
                  <c:v>139.86172399999998</c:v>
                </c:pt>
                <c:pt idx="19">
                  <c:v>153.71248399999999</c:v>
                </c:pt>
                <c:pt idx="20">
                  <c:v>156.54410505527832</c:v>
                </c:pt>
                <c:pt idx="21">
                  <c:v>156.54410505527832</c:v>
                </c:pt>
                <c:pt idx="22">
                  <c:v>149.951358</c:v>
                </c:pt>
                <c:pt idx="23">
                  <c:v>156.54410505527832</c:v>
                </c:pt>
                <c:pt idx="24">
                  <c:v>156.54410505527832</c:v>
                </c:pt>
                <c:pt idx="25">
                  <c:v>153.04221900000002</c:v>
                </c:pt>
                <c:pt idx="26">
                  <c:v>143.51155800000001</c:v>
                </c:pt>
                <c:pt idx="27">
                  <c:v>121.09355000000001</c:v>
                </c:pt>
                <c:pt idx="28">
                  <c:v>102.74132399999999</c:v>
                </c:pt>
                <c:pt idx="29">
                  <c:v>152.093672</c:v>
                </c:pt>
                <c:pt idx="30">
                  <c:v>160.28440463675545</c:v>
                </c:pt>
                <c:pt idx="31">
                  <c:v>160.28440463675545</c:v>
                </c:pt>
                <c:pt idx="32">
                  <c:v>160.28440463675545</c:v>
                </c:pt>
                <c:pt idx="33">
                  <c:v>160.28440463675545</c:v>
                </c:pt>
                <c:pt idx="34">
                  <c:v>160.28440463675545</c:v>
                </c:pt>
                <c:pt idx="35">
                  <c:v>150.343636</c:v>
                </c:pt>
                <c:pt idx="36">
                  <c:v>159.93816700000002</c:v>
                </c:pt>
                <c:pt idx="37">
                  <c:v>160.28440463675545</c:v>
                </c:pt>
                <c:pt idx="38">
                  <c:v>160.28440463675545</c:v>
                </c:pt>
                <c:pt idx="39">
                  <c:v>160.28440463675545</c:v>
                </c:pt>
                <c:pt idx="40">
                  <c:v>160.28440463675545</c:v>
                </c:pt>
                <c:pt idx="41">
                  <c:v>160.28440463675545</c:v>
                </c:pt>
                <c:pt idx="42">
                  <c:v>160.28440463675545</c:v>
                </c:pt>
                <c:pt idx="43">
                  <c:v>160.28440463675545</c:v>
                </c:pt>
                <c:pt idx="44">
                  <c:v>160.28440463675545</c:v>
                </c:pt>
                <c:pt idx="45">
                  <c:v>160.28440463675545</c:v>
                </c:pt>
                <c:pt idx="46">
                  <c:v>160.28440463675545</c:v>
                </c:pt>
                <c:pt idx="47">
                  <c:v>151.60473499999998</c:v>
                </c:pt>
                <c:pt idx="48">
                  <c:v>160.28440463675545</c:v>
                </c:pt>
                <c:pt idx="49">
                  <c:v>160.28440463675545</c:v>
                </c:pt>
                <c:pt idx="50">
                  <c:v>160.28440463675545</c:v>
                </c:pt>
                <c:pt idx="51">
                  <c:v>160.28440463675545</c:v>
                </c:pt>
                <c:pt idx="52">
                  <c:v>160.28440463675545</c:v>
                </c:pt>
                <c:pt idx="53">
                  <c:v>160.28440463675545</c:v>
                </c:pt>
                <c:pt idx="54">
                  <c:v>160.28440463675545</c:v>
                </c:pt>
                <c:pt idx="55">
                  <c:v>160.28440463675545</c:v>
                </c:pt>
                <c:pt idx="56">
                  <c:v>160.28440463675545</c:v>
                </c:pt>
                <c:pt idx="57">
                  <c:v>160.28440463675545</c:v>
                </c:pt>
                <c:pt idx="58">
                  <c:v>121.90305499999999</c:v>
                </c:pt>
                <c:pt idx="59">
                  <c:v>160.28440463675545</c:v>
                </c:pt>
                <c:pt idx="60">
                  <c:v>160.28440463675545</c:v>
                </c:pt>
                <c:pt idx="61">
                  <c:v>149.35317207518861</c:v>
                </c:pt>
                <c:pt idx="62">
                  <c:v>149.35317207518861</c:v>
                </c:pt>
                <c:pt idx="63">
                  <c:v>149.35317207518861</c:v>
                </c:pt>
                <c:pt idx="64">
                  <c:v>149.35317207518861</c:v>
                </c:pt>
                <c:pt idx="65">
                  <c:v>149.35317207518861</c:v>
                </c:pt>
                <c:pt idx="66">
                  <c:v>149.35317207518861</c:v>
                </c:pt>
                <c:pt idx="67">
                  <c:v>149.35317207518861</c:v>
                </c:pt>
                <c:pt idx="68">
                  <c:v>149.35317207518861</c:v>
                </c:pt>
                <c:pt idx="69">
                  <c:v>149.35317207518861</c:v>
                </c:pt>
                <c:pt idx="70">
                  <c:v>149.35317207518861</c:v>
                </c:pt>
                <c:pt idx="71">
                  <c:v>149.35317207518861</c:v>
                </c:pt>
                <c:pt idx="72">
                  <c:v>149.35317207518861</c:v>
                </c:pt>
                <c:pt idx="73">
                  <c:v>145.14749899999998</c:v>
                </c:pt>
                <c:pt idx="74">
                  <c:v>149.35317207518861</c:v>
                </c:pt>
                <c:pt idx="75">
                  <c:v>149.35317207518861</c:v>
                </c:pt>
                <c:pt idx="76">
                  <c:v>149.35317207518861</c:v>
                </c:pt>
                <c:pt idx="77">
                  <c:v>149.35317207518861</c:v>
                </c:pt>
                <c:pt idx="78">
                  <c:v>149.35317207518861</c:v>
                </c:pt>
                <c:pt idx="79">
                  <c:v>149.35317207518861</c:v>
                </c:pt>
                <c:pt idx="80">
                  <c:v>149.35317207518861</c:v>
                </c:pt>
                <c:pt idx="81">
                  <c:v>149.35317207518861</c:v>
                </c:pt>
                <c:pt idx="82">
                  <c:v>149.35317207518861</c:v>
                </c:pt>
                <c:pt idx="83">
                  <c:v>149.35317207518861</c:v>
                </c:pt>
                <c:pt idx="84">
                  <c:v>149.35317207518861</c:v>
                </c:pt>
                <c:pt idx="85">
                  <c:v>135.528899</c:v>
                </c:pt>
                <c:pt idx="86">
                  <c:v>149.35317207518861</c:v>
                </c:pt>
                <c:pt idx="87">
                  <c:v>149.35317207518861</c:v>
                </c:pt>
                <c:pt idx="88">
                  <c:v>149.35317207518861</c:v>
                </c:pt>
                <c:pt idx="89">
                  <c:v>129.18781100000001</c:v>
                </c:pt>
                <c:pt idx="90">
                  <c:v>141.19395699999998</c:v>
                </c:pt>
                <c:pt idx="91">
                  <c:v>124.820413</c:v>
                </c:pt>
                <c:pt idx="92">
                  <c:v>126.6929881001642</c:v>
                </c:pt>
                <c:pt idx="93">
                  <c:v>126.6929881001642</c:v>
                </c:pt>
                <c:pt idx="94">
                  <c:v>126.6929881001642</c:v>
                </c:pt>
                <c:pt idx="95">
                  <c:v>126.6929881001642</c:v>
                </c:pt>
                <c:pt idx="96">
                  <c:v>126.6929881001642</c:v>
                </c:pt>
                <c:pt idx="97">
                  <c:v>126.6929881001642</c:v>
                </c:pt>
                <c:pt idx="98">
                  <c:v>126.6929881001642</c:v>
                </c:pt>
                <c:pt idx="99">
                  <c:v>126.6929881001642</c:v>
                </c:pt>
                <c:pt idx="100">
                  <c:v>126.6929881001642</c:v>
                </c:pt>
                <c:pt idx="101">
                  <c:v>126.6929881001642</c:v>
                </c:pt>
                <c:pt idx="102">
                  <c:v>126.6929881001642</c:v>
                </c:pt>
                <c:pt idx="103">
                  <c:v>126.6929881001642</c:v>
                </c:pt>
                <c:pt idx="104">
                  <c:v>126.6929881001642</c:v>
                </c:pt>
                <c:pt idx="105">
                  <c:v>126.6929881001642</c:v>
                </c:pt>
                <c:pt idx="106">
                  <c:v>126.6929881001642</c:v>
                </c:pt>
                <c:pt idx="107">
                  <c:v>126.6929881001642</c:v>
                </c:pt>
                <c:pt idx="108">
                  <c:v>126.6929881001642</c:v>
                </c:pt>
                <c:pt idx="109">
                  <c:v>126.6929881001642</c:v>
                </c:pt>
                <c:pt idx="110">
                  <c:v>93.914507</c:v>
                </c:pt>
                <c:pt idx="111">
                  <c:v>101.186432</c:v>
                </c:pt>
                <c:pt idx="112">
                  <c:v>96.45611199999999</c:v>
                </c:pt>
                <c:pt idx="113">
                  <c:v>120.73844800000001</c:v>
                </c:pt>
                <c:pt idx="114">
                  <c:v>126.6929881001642</c:v>
                </c:pt>
                <c:pt idx="115">
                  <c:v>91.882216999999997</c:v>
                </c:pt>
                <c:pt idx="116">
                  <c:v>83.148853000000003</c:v>
                </c:pt>
                <c:pt idx="117">
                  <c:v>97.209322999999998</c:v>
                </c:pt>
                <c:pt idx="118">
                  <c:v>126.6929881001642</c:v>
                </c:pt>
                <c:pt idx="119">
                  <c:v>126.6929881001642</c:v>
                </c:pt>
                <c:pt idx="120">
                  <c:v>126.6929881001642</c:v>
                </c:pt>
                <c:pt idx="121">
                  <c:v>126.6929881001642</c:v>
                </c:pt>
                <c:pt idx="122">
                  <c:v>100.30245927905248</c:v>
                </c:pt>
                <c:pt idx="123">
                  <c:v>93.016408999999996</c:v>
                </c:pt>
                <c:pt idx="124">
                  <c:v>100.30245927905248</c:v>
                </c:pt>
                <c:pt idx="125">
                  <c:v>100.30245927905248</c:v>
                </c:pt>
                <c:pt idx="126">
                  <c:v>100.30245927905248</c:v>
                </c:pt>
                <c:pt idx="127">
                  <c:v>92.346328999999997</c:v>
                </c:pt>
                <c:pt idx="128">
                  <c:v>59.652215000000005</c:v>
                </c:pt>
                <c:pt idx="129">
                  <c:v>83.341712999999984</c:v>
                </c:pt>
                <c:pt idx="130">
                  <c:v>63.042383000000001</c:v>
                </c:pt>
                <c:pt idx="131">
                  <c:v>100.30245927905248</c:v>
                </c:pt>
                <c:pt idx="132">
                  <c:v>77.722634999999997</c:v>
                </c:pt>
                <c:pt idx="133">
                  <c:v>41.631908000000003</c:v>
                </c:pt>
                <c:pt idx="134">
                  <c:v>86.009043999999989</c:v>
                </c:pt>
                <c:pt idx="135">
                  <c:v>64.959205999999995</c:v>
                </c:pt>
                <c:pt idx="136">
                  <c:v>50.144590999999998</c:v>
                </c:pt>
                <c:pt idx="137">
                  <c:v>82.845259999999996</c:v>
                </c:pt>
                <c:pt idx="138">
                  <c:v>89.803062999999995</c:v>
                </c:pt>
                <c:pt idx="139">
                  <c:v>100.30245927905248</c:v>
                </c:pt>
                <c:pt idx="140">
                  <c:v>94.70262799999999</c:v>
                </c:pt>
                <c:pt idx="141">
                  <c:v>100.30245927905248</c:v>
                </c:pt>
                <c:pt idx="142">
                  <c:v>100.30245927905248</c:v>
                </c:pt>
                <c:pt idx="143">
                  <c:v>100.30245927905248</c:v>
                </c:pt>
                <c:pt idx="144">
                  <c:v>100.30245927905248</c:v>
                </c:pt>
                <c:pt idx="145">
                  <c:v>100.30245927905248</c:v>
                </c:pt>
                <c:pt idx="146">
                  <c:v>67.088178999999997</c:v>
                </c:pt>
                <c:pt idx="147">
                  <c:v>72.510208000000006</c:v>
                </c:pt>
                <c:pt idx="148">
                  <c:v>74.548693999999998</c:v>
                </c:pt>
                <c:pt idx="149">
                  <c:v>93.92407</c:v>
                </c:pt>
                <c:pt idx="150">
                  <c:v>33.265422999999998</c:v>
                </c:pt>
                <c:pt idx="151">
                  <c:v>57.110762999999999</c:v>
                </c:pt>
                <c:pt idx="152">
                  <c:v>54.483849999999997</c:v>
                </c:pt>
                <c:pt idx="153">
                  <c:v>73.512523066069093</c:v>
                </c:pt>
                <c:pt idx="154">
                  <c:v>73.512523066069093</c:v>
                </c:pt>
                <c:pt idx="155">
                  <c:v>73.512523066069093</c:v>
                </c:pt>
                <c:pt idx="156">
                  <c:v>73.512523066069093</c:v>
                </c:pt>
                <c:pt idx="157">
                  <c:v>73.512523066069093</c:v>
                </c:pt>
                <c:pt idx="158">
                  <c:v>73.512523066069093</c:v>
                </c:pt>
                <c:pt idx="159">
                  <c:v>73.512523066069093</c:v>
                </c:pt>
                <c:pt idx="160">
                  <c:v>50.916232000000001</c:v>
                </c:pt>
                <c:pt idx="161">
                  <c:v>73.512523066069093</c:v>
                </c:pt>
                <c:pt idx="162">
                  <c:v>73.512523066069093</c:v>
                </c:pt>
                <c:pt idx="163">
                  <c:v>73.512523066069093</c:v>
                </c:pt>
                <c:pt idx="164">
                  <c:v>73.512523066069093</c:v>
                </c:pt>
                <c:pt idx="165">
                  <c:v>39.932923000000002</c:v>
                </c:pt>
                <c:pt idx="166">
                  <c:v>41.226576999999999</c:v>
                </c:pt>
                <c:pt idx="167">
                  <c:v>62.788205999999995</c:v>
                </c:pt>
                <c:pt idx="168">
                  <c:v>66.986218999999991</c:v>
                </c:pt>
                <c:pt idx="169">
                  <c:v>67.113129000000001</c:v>
                </c:pt>
                <c:pt idx="170">
                  <c:v>73.512523066069093</c:v>
                </c:pt>
                <c:pt idx="171">
                  <c:v>73.512523066069093</c:v>
                </c:pt>
                <c:pt idx="172">
                  <c:v>73.512523066069093</c:v>
                </c:pt>
                <c:pt idx="173">
                  <c:v>42.338537000000002</c:v>
                </c:pt>
                <c:pt idx="174">
                  <c:v>58.361740999999995</c:v>
                </c:pt>
                <c:pt idx="175">
                  <c:v>73.512523066069093</c:v>
                </c:pt>
                <c:pt idx="176">
                  <c:v>51.90925</c:v>
                </c:pt>
                <c:pt idx="177">
                  <c:v>55.430270999999998</c:v>
                </c:pt>
                <c:pt idx="178">
                  <c:v>64.251201999999992</c:v>
                </c:pt>
                <c:pt idx="179">
                  <c:v>73.512523066069093</c:v>
                </c:pt>
                <c:pt idx="180">
                  <c:v>73.512523066069093</c:v>
                </c:pt>
                <c:pt idx="181">
                  <c:v>69.153275999999991</c:v>
                </c:pt>
                <c:pt idx="182">
                  <c:v>73.512523066069093</c:v>
                </c:pt>
                <c:pt idx="183">
                  <c:v>50.342654000000003</c:v>
                </c:pt>
                <c:pt idx="184">
                  <c:v>57.007607999999998</c:v>
                </c:pt>
                <c:pt idx="185">
                  <c:v>60.962364999999998</c:v>
                </c:pt>
                <c:pt idx="186">
                  <c:v>62.677295626558916</c:v>
                </c:pt>
                <c:pt idx="187">
                  <c:v>62.677295626558916</c:v>
                </c:pt>
                <c:pt idx="188">
                  <c:v>62.677295626558916</c:v>
                </c:pt>
                <c:pt idx="189">
                  <c:v>62.677295626558916</c:v>
                </c:pt>
                <c:pt idx="190">
                  <c:v>62.677295626558916</c:v>
                </c:pt>
                <c:pt idx="191">
                  <c:v>62.677295626558916</c:v>
                </c:pt>
                <c:pt idx="192">
                  <c:v>62.677295626558916</c:v>
                </c:pt>
                <c:pt idx="193">
                  <c:v>62.677295626558916</c:v>
                </c:pt>
                <c:pt idx="194">
                  <c:v>54.744125999999994</c:v>
                </c:pt>
                <c:pt idx="195">
                  <c:v>62.677295626558916</c:v>
                </c:pt>
                <c:pt idx="196">
                  <c:v>62.677295626558916</c:v>
                </c:pt>
                <c:pt idx="197">
                  <c:v>62.677295626558916</c:v>
                </c:pt>
                <c:pt idx="198">
                  <c:v>62.677295626558916</c:v>
                </c:pt>
                <c:pt idx="199">
                  <c:v>62.677295626558916</c:v>
                </c:pt>
                <c:pt idx="200">
                  <c:v>62.677295626558916</c:v>
                </c:pt>
                <c:pt idx="201">
                  <c:v>47.207433999999999</c:v>
                </c:pt>
                <c:pt idx="202">
                  <c:v>62.677295626558916</c:v>
                </c:pt>
                <c:pt idx="203">
                  <c:v>62.677295626558916</c:v>
                </c:pt>
                <c:pt idx="204">
                  <c:v>62.677295626558916</c:v>
                </c:pt>
                <c:pt idx="205">
                  <c:v>62.677295626558916</c:v>
                </c:pt>
                <c:pt idx="206">
                  <c:v>62.677295626558916</c:v>
                </c:pt>
                <c:pt idx="207">
                  <c:v>62.677295626558916</c:v>
                </c:pt>
                <c:pt idx="208">
                  <c:v>62.677295626558916</c:v>
                </c:pt>
                <c:pt idx="209">
                  <c:v>62.677295626558916</c:v>
                </c:pt>
                <c:pt idx="210">
                  <c:v>62.677295626558916</c:v>
                </c:pt>
                <c:pt idx="211">
                  <c:v>62.677295626558916</c:v>
                </c:pt>
                <c:pt idx="212">
                  <c:v>62.677295626558916</c:v>
                </c:pt>
                <c:pt idx="213">
                  <c:v>62.677295626558916</c:v>
                </c:pt>
                <c:pt idx="214">
                  <c:v>77.068251000000004</c:v>
                </c:pt>
                <c:pt idx="215">
                  <c:v>90.994359000000003</c:v>
                </c:pt>
                <c:pt idx="216">
                  <c:v>73.33421899999999</c:v>
                </c:pt>
                <c:pt idx="217">
                  <c:v>67.995000000000005</c:v>
                </c:pt>
                <c:pt idx="218">
                  <c:v>38.230311999999998</c:v>
                </c:pt>
                <c:pt idx="219">
                  <c:v>57.564029000000005</c:v>
                </c:pt>
                <c:pt idx="220">
                  <c:v>73.159034000000005</c:v>
                </c:pt>
                <c:pt idx="221">
                  <c:v>56.939137000000002</c:v>
                </c:pt>
                <c:pt idx="222">
                  <c:v>71.211937999999989</c:v>
                </c:pt>
                <c:pt idx="223">
                  <c:v>59.269631000000004</c:v>
                </c:pt>
                <c:pt idx="224">
                  <c:v>57.422787</c:v>
                </c:pt>
                <c:pt idx="225">
                  <c:v>87.426428000000001</c:v>
                </c:pt>
                <c:pt idx="226">
                  <c:v>92.067993699548055</c:v>
                </c:pt>
                <c:pt idx="227">
                  <c:v>92.067993699548055</c:v>
                </c:pt>
                <c:pt idx="228">
                  <c:v>92.067993699548055</c:v>
                </c:pt>
                <c:pt idx="229">
                  <c:v>92.067993699548055</c:v>
                </c:pt>
                <c:pt idx="230">
                  <c:v>92.067993699548055</c:v>
                </c:pt>
                <c:pt idx="231">
                  <c:v>92.067993699548055</c:v>
                </c:pt>
                <c:pt idx="232">
                  <c:v>92.067993699548055</c:v>
                </c:pt>
                <c:pt idx="233">
                  <c:v>26.655028999999999</c:v>
                </c:pt>
                <c:pt idx="234">
                  <c:v>32.589661</c:v>
                </c:pt>
                <c:pt idx="235">
                  <c:v>45.809493000000003</c:v>
                </c:pt>
                <c:pt idx="236">
                  <c:v>69.363523000000001</c:v>
                </c:pt>
                <c:pt idx="237">
                  <c:v>62.949872999999997</c:v>
                </c:pt>
                <c:pt idx="238">
                  <c:v>47.528025</c:v>
                </c:pt>
                <c:pt idx="239">
                  <c:v>41.385731</c:v>
                </c:pt>
                <c:pt idx="240">
                  <c:v>47.163074000000002</c:v>
                </c:pt>
                <c:pt idx="241">
                  <c:v>73.550073999999995</c:v>
                </c:pt>
                <c:pt idx="242">
                  <c:v>33.501505999999999</c:v>
                </c:pt>
                <c:pt idx="243">
                  <c:v>90.723089999999999</c:v>
                </c:pt>
                <c:pt idx="244">
                  <c:v>92.067993699548055</c:v>
                </c:pt>
                <c:pt idx="245">
                  <c:v>113.19203400000001</c:v>
                </c:pt>
                <c:pt idx="246">
                  <c:v>81.617047999999997</c:v>
                </c:pt>
                <c:pt idx="247">
                  <c:v>105.36175299999999</c:v>
                </c:pt>
                <c:pt idx="248">
                  <c:v>118.76239974394448</c:v>
                </c:pt>
                <c:pt idx="249">
                  <c:v>118.76239974394448</c:v>
                </c:pt>
                <c:pt idx="250">
                  <c:v>118.76239974394448</c:v>
                </c:pt>
                <c:pt idx="251">
                  <c:v>84.064771999999991</c:v>
                </c:pt>
                <c:pt idx="252">
                  <c:v>118.76239974394448</c:v>
                </c:pt>
                <c:pt idx="253">
                  <c:v>117.61328</c:v>
                </c:pt>
                <c:pt idx="254">
                  <c:v>89.395330000000001</c:v>
                </c:pt>
                <c:pt idx="255">
                  <c:v>88.297251999999986</c:v>
                </c:pt>
                <c:pt idx="256">
                  <c:v>101.45506900000001</c:v>
                </c:pt>
                <c:pt idx="257">
                  <c:v>118.76239974394448</c:v>
                </c:pt>
                <c:pt idx="258">
                  <c:v>118.76239974394448</c:v>
                </c:pt>
                <c:pt idx="259">
                  <c:v>108.93982200000001</c:v>
                </c:pt>
                <c:pt idx="260">
                  <c:v>118.76239974394448</c:v>
                </c:pt>
                <c:pt idx="261">
                  <c:v>118.76239974394448</c:v>
                </c:pt>
                <c:pt idx="262">
                  <c:v>86.21818300000001</c:v>
                </c:pt>
                <c:pt idx="263">
                  <c:v>111.382293</c:v>
                </c:pt>
                <c:pt idx="264">
                  <c:v>118.76239974394448</c:v>
                </c:pt>
                <c:pt idx="265">
                  <c:v>77.587505000000007</c:v>
                </c:pt>
                <c:pt idx="266">
                  <c:v>100.87310099999999</c:v>
                </c:pt>
                <c:pt idx="267">
                  <c:v>118.76239974394448</c:v>
                </c:pt>
                <c:pt idx="268">
                  <c:v>118.76239974394448</c:v>
                </c:pt>
                <c:pt idx="269">
                  <c:v>82.490465</c:v>
                </c:pt>
                <c:pt idx="270">
                  <c:v>118.76239974394448</c:v>
                </c:pt>
                <c:pt idx="271">
                  <c:v>112.52909600000001</c:v>
                </c:pt>
                <c:pt idx="272">
                  <c:v>88.048738</c:v>
                </c:pt>
                <c:pt idx="273">
                  <c:v>61.805408</c:v>
                </c:pt>
                <c:pt idx="274">
                  <c:v>40.892375000000001</c:v>
                </c:pt>
                <c:pt idx="275">
                  <c:v>58.281362000000001</c:v>
                </c:pt>
                <c:pt idx="276">
                  <c:v>84.574604999999991</c:v>
                </c:pt>
                <c:pt idx="277">
                  <c:v>60.374578</c:v>
                </c:pt>
                <c:pt idx="278">
                  <c:v>83.60669</c:v>
                </c:pt>
                <c:pt idx="279">
                  <c:v>62.758946000000002</c:v>
                </c:pt>
                <c:pt idx="280">
                  <c:v>54.144190999999999</c:v>
                </c:pt>
                <c:pt idx="281">
                  <c:v>98.322231000000002</c:v>
                </c:pt>
                <c:pt idx="282">
                  <c:v>90.729952999999995</c:v>
                </c:pt>
                <c:pt idx="283">
                  <c:v>98.638045000000005</c:v>
                </c:pt>
                <c:pt idx="284">
                  <c:v>93.628560999999991</c:v>
                </c:pt>
                <c:pt idx="285">
                  <c:v>66.422049999999999</c:v>
                </c:pt>
                <c:pt idx="286">
                  <c:v>107.999302</c:v>
                </c:pt>
                <c:pt idx="287">
                  <c:v>137.73954000000001</c:v>
                </c:pt>
                <c:pt idx="288">
                  <c:v>108.98410500000001</c:v>
                </c:pt>
                <c:pt idx="289">
                  <c:v>75.564635999999993</c:v>
                </c:pt>
                <c:pt idx="290">
                  <c:v>78.607607000000002</c:v>
                </c:pt>
                <c:pt idx="291">
                  <c:v>113.01438499999999</c:v>
                </c:pt>
                <c:pt idx="292">
                  <c:v>85.064345999999986</c:v>
                </c:pt>
                <c:pt idx="293">
                  <c:v>83.309352000000004</c:v>
                </c:pt>
                <c:pt idx="294">
                  <c:v>90.464739999999992</c:v>
                </c:pt>
                <c:pt idx="295">
                  <c:v>107.38733900000001</c:v>
                </c:pt>
                <c:pt idx="296">
                  <c:v>139.10652927703509</c:v>
                </c:pt>
                <c:pt idx="297">
                  <c:v>139.02426</c:v>
                </c:pt>
                <c:pt idx="298">
                  <c:v>139.10652927703509</c:v>
                </c:pt>
                <c:pt idx="299">
                  <c:v>139.10652927703509</c:v>
                </c:pt>
                <c:pt idx="300">
                  <c:v>139.10652927703509</c:v>
                </c:pt>
                <c:pt idx="301">
                  <c:v>133.89215799999999</c:v>
                </c:pt>
                <c:pt idx="302">
                  <c:v>123.232653</c:v>
                </c:pt>
                <c:pt idx="303">
                  <c:v>139.10652927703509</c:v>
                </c:pt>
                <c:pt idx="304">
                  <c:v>140.031375</c:v>
                </c:pt>
                <c:pt idx="305">
                  <c:v>106.77836300000001</c:v>
                </c:pt>
                <c:pt idx="306">
                  <c:v>79.643226999999996</c:v>
                </c:pt>
                <c:pt idx="307">
                  <c:v>103.53371000000001</c:v>
                </c:pt>
                <c:pt idx="308">
                  <c:v>126.52794400000001</c:v>
                </c:pt>
                <c:pt idx="309">
                  <c:v>118.51524499999999</c:v>
                </c:pt>
                <c:pt idx="310">
                  <c:v>161.25410292974746</c:v>
                </c:pt>
                <c:pt idx="311">
                  <c:v>161.25410292974746</c:v>
                </c:pt>
                <c:pt idx="312">
                  <c:v>161.25410292974746</c:v>
                </c:pt>
                <c:pt idx="313">
                  <c:v>138.443555</c:v>
                </c:pt>
                <c:pt idx="314">
                  <c:v>94.643987999999993</c:v>
                </c:pt>
                <c:pt idx="315">
                  <c:v>89.034120999999999</c:v>
                </c:pt>
                <c:pt idx="316">
                  <c:v>124.79208100000001</c:v>
                </c:pt>
                <c:pt idx="317">
                  <c:v>111.522554</c:v>
                </c:pt>
                <c:pt idx="318">
                  <c:v>138.24814600000002</c:v>
                </c:pt>
                <c:pt idx="319">
                  <c:v>149.19416000000001</c:v>
                </c:pt>
                <c:pt idx="320">
                  <c:v>153.746441</c:v>
                </c:pt>
                <c:pt idx="321">
                  <c:v>114.33897899999999</c:v>
                </c:pt>
                <c:pt idx="322">
                  <c:v>112.476477</c:v>
                </c:pt>
                <c:pt idx="323">
                  <c:v>117.89612200000001</c:v>
                </c:pt>
                <c:pt idx="324">
                  <c:v>161.25410292974746</c:v>
                </c:pt>
                <c:pt idx="325">
                  <c:v>161.25410292974746</c:v>
                </c:pt>
                <c:pt idx="326">
                  <c:v>161.25410292974746</c:v>
                </c:pt>
                <c:pt idx="327">
                  <c:v>161.25410292974746</c:v>
                </c:pt>
                <c:pt idx="328">
                  <c:v>161.25410292974746</c:v>
                </c:pt>
                <c:pt idx="329">
                  <c:v>161.25410292974746</c:v>
                </c:pt>
                <c:pt idx="330">
                  <c:v>132.01218299999999</c:v>
                </c:pt>
                <c:pt idx="331">
                  <c:v>70.725413999999986</c:v>
                </c:pt>
                <c:pt idx="332">
                  <c:v>89.865460999999996</c:v>
                </c:pt>
                <c:pt idx="333">
                  <c:v>104.69134600000001</c:v>
                </c:pt>
                <c:pt idx="334">
                  <c:v>116.21073200000001</c:v>
                </c:pt>
                <c:pt idx="335">
                  <c:v>101.071519</c:v>
                </c:pt>
                <c:pt idx="336">
                  <c:v>135.347138</c:v>
                </c:pt>
                <c:pt idx="337">
                  <c:v>112.69158</c:v>
                </c:pt>
                <c:pt idx="338">
                  <c:v>120.254164</c:v>
                </c:pt>
                <c:pt idx="339">
                  <c:v>134.96149600000001</c:v>
                </c:pt>
                <c:pt idx="340">
                  <c:v>166.02542</c:v>
                </c:pt>
                <c:pt idx="341">
                  <c:v>129.28512700000002</c:v>
                </c:pt>
                <c:pt idx="342">
                  <c:v>147.17215899999999</c:v>
                </c:pt>
                <c:pt idx="343">
                  <c:v>112.27607300000001</c:v>
                </c:pt>
                <c:pt idx="344">
                  <c:v>115.928543</c:v>
                </c:pt>
                <c:pt idx="345">
                  <c:v>162.74789999999999</c:v>
                </c:pt>
                <c:pt idx="346">
                  <c:v>152.26761300000001</c:v>
                </c:pt>
                <c:pt idx="347">
                  <c:v>158.779055</c:v>
                </c:pt>
                <c:pt idx="348">
                  <c:v>140.09709899999999</c:v>
                </c:pt>
                <c:pt idx="349">
                  <c:v>159.700525</c:v>
                </c:pt>
                <c:pt idx="350">
                  <c:v>156.33715700000002</c:v>
                </c:pt>
                <c:pt idx="351">
                  <c:v>144.53871799999999</c:v>
                </c:pt>
                <c:pt idx="352">
                  <c:v>164.27650400000002</c:v>
                </c:pt>
                <c:pt idx="353">
                  <c:v>176.20863</c:v>
                </c:pt>
                <c:pt idx="354">
                  <c:v>188.53500601430525</c:v>
                </c:pt>
                <c:pt idx="355">
                  <c:v>173.254705</c:v>
                </c:pt>
                <c:pt idx="356">
                  <c:v>175.05173099999999</c:v>
                </c:pt>
                <c:pt idx="357">
                  <c:v>168.45440900000003</c:v>
                </c:pt>
                <c:pt idx="358">
                  <c:v>153.430362</c:v>
                </c:pt>
                <c:pt idx="359">
                  <c:v>188.53500601430525</c:v>
                </c:pt>
                <c:pt idx="360">
                  <c:v>188.53500601430525</c:v>
                </c:pt>
                <c:pt idx="361">
                  <c:v>188.53500601430525</c:v>
                </c:pt>
                <c:pt idx="362">
                  <c:v>188.53500601430525</c:v>
                </c:pt>
                <c:pt idx="363">
                  <c:v>188.53500601430525</c:v>
                </c:pt>
                <c:pt idx="364">
                  <c:v>176.35852700000001</c:v>
                </c:pt>
                <c:pt idx="365">
                  <c:v>147.94033999999999</c:v>
                </c:pt>
                <c:pt idx="366">
                  <c:v>178.07417999999998</c:v>
                </c:pt>
                <c:pt idx="367">
                  <c:v>158.24366800000001</c:v>
                </c:pt>
                <c:pt idx="368">
                  <c:v>193.62149049757886</c:v>
                </c:pt>
                <c:pt idx="369">
                  <c:v>193.62149049757886</c:v>
                </c:pt>
                <c:pt idx="370">
                  <c:v>193.62149049757886</c:v>
                </c:pt>
                <c:pt idx="371">
                  <c:v>193.62149049757886</c:v>
                </c:pt>
                <c:pt idx="372">
                  <c:v>168.514453</c:v>
                </c:pt>
                <c:pt idx="373">
                  <c:v>192.91655499999999</c:v>
                </c:pt>
                <c:pt idx="374">
                  <c:v>165.01333399999999</c:v>
                </c:pt>
                <c:pt idx="375">
                  <c:v>174.78965899999997</c:v>
                </c:pt>
                <c:pt idx="376">
                  <c:v>193.62149049757886</c:v>
                </c:pt>
                <c:pt idx="377">
                  <c:v>193.62149049757886</c:v>
                </c:pt>
                <c:pt idx="378">
                  <c:v>193.62149049757886</c:v>
                </c:pt>
                <c:pt idx="379">
                  <c:v>172.82650900000002</c:v>
                </c:pt>
                <c:pt idx="380">
                  <c:v>193.62149049757886</c:v>
                </c:pt>
                <c:pt idx="381">
                  <c:v>193.62149049757886</c:v>
                </c:pt>
                <c:pt idx="382">
                  <c:v>193.62149049757886</c:v>
                </c:pt>
                <c:pt idx="383">
                  <c:v>186.247298</c:v>
                </c:pt>
                <c:pt idx="384">
                  <c:v>193.62149049757886</c:v>
                </c:pt>
                <c:pt idx="385">
                  <c:v>193.62149049757886</c:v>
                </c:pt>
                <c:pt idx="386">
                  <c:v>183.15809300000004</c:v>
                </c:pt>
                <c:pt idx="387">
                  <c:v>192.96741700000001</c:v>
                </c:pt>
                <c:pt idx="388">
                  <c:v>178.90685200000001</c:v>
                </c:pt>
                <c:pt idx="389">
                  <c:v>193.62149049757886</c:v>
                </c:pt>
                <c:pt idx="390">
                  <c:v>193.62149049757886</c:v>
                </c:pt>
                <c:pt idx="391">
                  <c:v>193.62149049757886</c:v>
                </c:pt>
                <c:pt idx="392">
                  <c:v>193.62149049757886</c:v>
                </c:pt>
                <c:pt idx="393">
                  <c:v>193.62149049757886</c:v>
                </c:pt>
                <c:pt idx="394">
                  <c:v>193.62149049757886</c:v>
                </c:pt>
                <c:pt idx="395">
                  <c:v>200.32198172782029</c:v>
                </c:pt>
                <c:pt idx="396">
                  <c:v>200.32198172782029</c:v>
                </c:pt>
                <c:pt idx="397">
                  <c:v>200.32198172782029</c:v>
                </c:pt>
                <c:pt idx="398">
                  <c:v>200.32198172782029</c:v>
                </c:pt>
                <c:pt idx="399">
                  <c:v>200.32198172782029</c:v>
                </c:pt>
                <c:pt idx="400">
                  <c:v>199.92443600000001</c:v>
                </c:pt>
                <c:pt idx="401">
                  <c:v>200.32198172782029</c:v>
                </c:pt>
                <c:pt idx="402">
                  <c:v>200.32198172782029</c:v>
                </c:pt>
                <c:pt idx="403">
                  <c:v>199.85562100000001</c:v>
                </c:pt>
                <c:pt idx="404">
                  <c:v>200.32198172782029</c:v>
                </c:pt>
                <c:pt idx="405">
                  <c:v>200.32198172782029</c:v>
                </c:pt>
                <c:pt idx="406">
                  <c:v>173.44013999999999</c:v>
                </c:pt>
                <c:pt idx="407">
                  <c:v>200.32198172782029</c:v>
                </c:pt>
                <c:pt idx="408">
                  <c:v>200.32198172782029</c:v>
                </c:pt>
                <c:pt idx="409">
                  <c:v>200.32198172782029</c:v>
                </c:pt>
                <c:pt idx="410">
                  <c:v>200.32198172782029</c:v>
                </c:pt>
                <c:pt idx="411">
                  <c:v>200.32198172782029</c:v>
                </c:pt>
                <c:pt idx="412">
                  <c:v>200.32198172782029</c:v>
                </c:pt>
                <c:pt idx="413">
                  <c:v>188.49860899999999</c:v>
                </c:pt>
                <c:pt idx="414">
                  <c:v>166.53758200000001</c:v>
                </c:pt>
                <c:pt idx="415">
                  <c:v>200.32198172782029</c:v>
                </c:pt>
                <c:pt idx="416">
                  <c:v>200.32198172782029</c:v>
                </c:pt>
                <c:pt idx="417">
                  <c:v>173.66948700000003</c:v>
                </c:pt>
                <c:pt idx="418">
                  <c:v>180.28992600000001</c:v>
                </c:pt>
                <c:pt idx="419">
                  <c:v>195.62984499999999</c:v>
                </c:pt>
                <c:pt idx="420">
                  <c:v>199.67267700000002</c:v>
                </c:pt>
                <c:pt idx="421">
                  <c:v>181.35949000000002</c:v>
                </c:pt>
                <c:pt idx="422">
                  <c:v>197.95125799999997</c:v>
                </c:pt>
                <c:pt idx="423">
                  <c:v>181.14196500000003</c:v>
                </c:pt>
                <c:pt idx="424">
                  <c:v>198.73182</c:v>
                </c:pt>
                <c:pt idx="425">
                  <c:v>200.32198172782029</c:v>
                </c:pt>
                <c:pt idx="426">
                  <c:v>185.69615427437537</c:v>
                </c:pt>
                <c:pt idx="427">
                  <c:v>185.69615427437537</c:v>
                </c:pt>
                <c:pt idx="428">
                  <c:v>173.80855499999998</c:v>
                </c:pt>
                <c:pt idx="429">
                  <c:v>185.69615427437537</c:v>
                </c:pt>
                <c:pt idx="430">
                  <c:v>185.69615427437537</c:v>
                </c:pt>
                <c:pt idx="431">
                  <c:v>185.69615427437537</c:v>
                </c:pt>
                <c:pt idx="432">
                  <c:v>185.69615427437537</c:v>
                </c:pt>
                <c:pt idx="433">
                  <c:v>185.69615427437537</c:v>
                </c:pt>
                <c:pt idx="434">
                  <c:v>185.69615427437537</c:v>
                </c:pt>
                <c:pt idx="435">
                  <c:v>181.830702</c:v>
                </c:pt>
                <c:pt idx="436">
                  <c:v>185.69615427437537</c:v>
                </c:pt>
                <c:pt idx="437">
                  <c:v>183.32151199999998</c:v>
                </c:pt>
                <c:pt idx="438">
                  <c:v>176.47239999999999</c:v>
                </c:pt>
                <c:pt idx="439">
                  <c:v>185.69615427437537</c:v>
                </c:pt>
                <c:pt idx="440">
                  <c:v>185.69615427437537</c:v>
                </c:pt>
                <c:pt idx="441">
                  <c:v>185.69615427437537</c:v>
                </c:pt>
                <c:pt idx="442">
                  <c:v>180.096622</c:v>
                </c:pt>
                <c:pt idx="443">
                  <c:v>146.56738099999998</c:v>
                </c:pt>
                <c:pt idx="444">
                  <c:v>184.230538</c:v>
                </c:pt>
                <c:pt idx="445">
                  <c:v>177.20656699999998</c:v>
                </c:pt>
                <c:pt idx="446">
                  <c:v>185.69615427437537</c:v>
                </c:pt>
                <c:pt idx="447">
                  <c:v>185.69615427437537</c:v>
                </c:pt>
                <c:pt idx="448">
                  <c:v>185.69615427437537</c:v>
                </c:pt>
                <c:pt idx="449">
                  <c:v>164.38130699999999</c:v>
                </c:pt>
                <c:pt idx="450">
                  <c:v>168.43367900000001</c:v>
                </c:pt>
                <c:pt idx="451">
                  <c:v>173.51446600000003</c:v>
                </c:pt>
                <c:pt idx="452">
                  <c:v>176.607392</c:v>
                </c:pt>
                <c:pt idx="453">
                  <c:v>172.36410799999999</c:v>
                </c:pt>
                <c:pt idx="454">
                  <c:v>164.84451700000002</c:v>
                </c:pt>
                <c:pt idx="455">
                  <c:v>185.69615427437537</c:v>
                </c:pt>
                <c:pt idx="456">
                  <c:v>139.358261</c:v>
                </c:pt>
                <c:pt idx="457">
                  <c:v>157.81226091141519</c:v>
                </c:pt>
                <c:pt idx="458">
                  <c:v>157.81226091141519</c:v>
                </c:pt>
                <c:pt idx="459">
                  <c:v>157.81226091141519</c:v>
                </c:pt>
                <c:pt idx="460">
                  <c:v>157.81226091141519</c:v>
                </c:pt>
                <c:pt idx="461">
                  <c:v>157.81226091141519</c:v>
                </c:pt>
                <c:pt idx="462">
                  <c:v>146.76433900000001</c:v>
                </c:pt>
                <c:pt idx="463">
                  <c:v>118.585453</c:v>
                </c:pt>
                <c:pt idx="464">
                  <c:v>157.81226091141519</c:v>
                </c:pt>
                <c:pt idx="465">
                  <c:v>157.81226091141519</c:v>
                </c:pt>
                <c:pt idx="466">
                  <c:v>149.26733199999998</c:v>
                </c:pt>
                <c:pt idx="467">
                  <c:v>157.81226091141519</c:v>
                </c:pt>
                <c:pt idx="468">
                  <c:v>157.81226091141519</c:v>
                </c:pt>
                <c:pt idx="469">
                  <c:v>157.81226091141519</c:v>
                </c:pt>
                <c:pt idx="470">
                  <c:v>157.81226091141519</c:v>
                </c:pt>
                <c:pt idx="471">
                  <c:v>157.81226091141519</c:v>
                </c:pt>
                <c:pt idx="472">
                  <c:v>157.81226091141519</c:v>
                </c:pt>
                <c:pt idx="473">
                  <c:v>157.81226091141519</c:v>
                </c:pt>
                <c:pt idx="474">
                  <c:v>157.81226091141519</c:v>
                </c:pt>
                <c:pt idx="475">
                  <c:v>144.52778400000003</c:v>
                </c:pt>
                <c:pt idx="476">
                  <c:v>157.34828699999997</c:v>
                </c:pt>
                <c:pt idx="477">
                  <c:v>129.165359</c:v>
                </c:pt>
                <c:pt idx="478">
                  <c:v>157.81226091141519</c:v>
                </c:pt>
                <c:pt idx="479">
                  <c:v>157.81226091141519</c:v>
                </c:pt>
                <c:pt idx="480">
                  <c:v>157.81226091141519</c:v>
                </c:pt>
                <c:pt idx="481">
                  <c:v>157.81226091141519</c:v>
                </c:pt>
                <c:pt idx="482">
                  <c:v>157.81226091141519</c:v>
                </c:pt>
                <c:pt idx="483">
                  <c:v>140.54074400000002</c:v>
                </c:pt>
                <c:pt idx="484">
                  <c:v>91.183129999999991</c:v>
                </c:pt>
                <c:pt idx="485">
                  <c:v>113.978723</c:v>
                </c:pt>
                <c:pt idx="486">
                  <c:v>149.34829799999997</c:v>
                </c:pt>
                <c:pt idx="487">
                  <c:v>120.54686636297106</c:v>
                </c:pt>
                <c:pt idx="488">
                  <c:v>120.54686636297106</c:v>
                </c:pt>
                <c:pt idx="489">
                  <c:v>120.54686636297106</c:v>
                </c:pt>
                <c:pt idx="490">
                  <c:v>120.54686636297106</c:v>
                </c:pt>
                <c:pt idx="491">
                  <c:v>120.54686636297106</c:v>
                </c:pt>
                <c:pt idx="492">
                  <c:v>120.54686636297106</c:v>
                </c:pt>
                <c:pt idx="493">
                  <c:v>120.54686636297106</c:v>
                </c:pt>
                <c:pt idx="494">
                  <c:v>120.54686636297106</c:v>
                </c:pt>
                <c:pt idx="495">
                  <c:v>120.54686636297106</c:v>
                </c:pt>
                <c:pt idx="496">
                  <c:v>120.54686636297106</c:v>
                </c:pt>
                <c:pt idx="497">
                  <c:v>120.54686636297106</c:v>
                </c:pt>
                <c:pt idx="498">
                  <c:v>120.54686636297106</c:v>
                </c:pt>
                <c:pt idx="499">
                  <c:v>120.54686636297106</c:v>
                </c:pt>
                <c:pt idx="500">
                  <c:v>120.54686636297106</c:v>
                </c:pt>
                <c:pt idx="501">
                  <c:v>120.54686636297106</c:v>
                </c:pt>
                <c:pt idx="502">
                  <c:v>120.54686636297106</c:v>
                </c:pt>
                <c:pt idx="503">
                  <c:v>120.54686636297106</c:v>
                </c:pt>
                <c:pt idx="504">
                  <c:v>120.54686636297106</c:v>
                </c:pt>
                <c:pt idx="505">
                  <c:v>106.83304</c:v>
                </c:pt>
                <c:pt idx="506">
                  <c:v>107.701841</c:v>
                </c:pt>
                <c:pt idx="507">
                  <c:v>87.729926999999989</c:v>
                </c:pt>
                <c:pt idx="508">
                  <c:v>99.534084000000007</c:v>
                </c:pt>
                <c:pt idx="509">
                  <c:v>120.54686636297106</c:v>
                </c:pt>
                <c:pt idx="510">
                  <c:v>120.54686636297106</c:v>
                </c:pt>
                <c:pt idx="511">
                  <c:v>106.25985100000001</c:v>
                </c:pt>
                <c:pt idx="512">
                  <c:v>100.68469999999999</c:v>
                </c:pt>
                <c:pt idx="513">
                  <c:v>120.54686636297106</c:v>
                </c:pt>
                <c:pt idx="514">
                  <c:v>120.54686636297106</c:v>
                </c:pt>
                <c:pt idx="515">
                  <c:v>56.499038999999996</c:v>
                </c:pt>
                <c:pt idx="516">
                  <c:v>91.933517999999992</c:v>
                </c:pt>
                <c:pt idx="517">
                  <c:v>83.950518000000002</c:v>
                </c:pt>
                <c:pt idx="518">
                  <c:v>91.218224060623271</c:v>
                </c:pt>
                <c:pt idx="519">
                  <c:v>91.218224060623271</c:v>
                </c:pt>
                <c:pt idx="520">
                  <c:v>91.218224060623271</c:v>
                </c:pt>
                <c:pt idx="521">
                  <c:v>91.218224060623271</c:v>
                </c:pt>
                <c:pt idx="522">
                  <c:v>61.303362999999997</c:v>
                </c:pt>
                <c:pt idx="523">
                  <c:v>91.218224060623271</c:v>
                </c:pt>
                <c:pt idx="524">
                  <c:v>75.366657000000004</c:v>
                </c:pt>
                <c:pt idx="525">
                  <c:v>91.218224060623271</c:v>
                </c:pt>
                <c:pt idx="526">
                  <c:v>91.218224060623271</c:v>
                </c:pt>
                <c:pt idx="527">
                  <c:v>91.218224060623271</c:v>
                </c:pt>
                <c:pt idx="528">
                  <c:v>91.218224060623271</c:v>
                </c:pt>
                <c:pt idx="529">
                  <c:v>91.218224060623271</c:v>
                </c:pt>
                <c:pt idx="530">
                  <c:v>31.882144999999998</c:v>
                </c:pt>
                <c:pt idx="531">
                  <c:v>60.386104999999993</c:v>
                </c:pt>
                <c:pt idx="532">
                  <c:v>37.23001</c:v>
                </c:pt>
                <c:pt idx="533">
                  <c:v>79.08165799999999</c:v>
                </c:pt>
                <c:pt idx="534">
                  <c:v>88.768568999999999</c:v>
                </c:pt>
                <c:pt idx="535">
                  <c:v>91.218224060623271</c:v>
                </c:pt>
                <c:pt idx="536">
                  <c:v>91.218224060623271</c:v>
                </c:pt>
                <c:pt idx="537">
                  <c:v>91.218224060623271</c:v>
                </c:pt>
                <c:pt idx="538">
                  <c:v>91.218224060623271</c:v>
                </c:pt>
                <c:pt idx="539">
                  <c:v>91.218224060623271</c:v>
                </c:pt>
                <c:pt idx="540">
                  <c:v>91.218224060623271</c:v>
                </c:pt>
                <c:pt idx="541">
                  <c:v>41.484577999999999</c:v>
                </c:pt>
                <c:pt idx="542">
                  <c:v>91.218224060623271</c:v>
                </c:pt>
                <c:pt idx="543">
                  <c:v>91.218224060623271</c:v>
                </c:pt>
                <c:pt idx="544">
                  <c:v>91.218224060623271</c:v>
                </c:pt>
                <c:pt idx="545">
                  <c:v>91.218224060623271</c:v>
                </c:pt>
                <c:pt idx="546">
                  <c:v>91.218224060623271</c:v>
                </c:pt>
                <c:pt idx="547">
                  <c:v>67.507467000000005</c:v>
                </c:pt>
                <c:pt idx="548">
                  <c:v>76.368428472871472</c:v>
                </c:pt>
                <c:pt idx="549">
                  <c:v>66.967092000000008</c:v>
                </c:pt>
                <c:pt idx="550">
                  <c:v>76.368428472871472</c:v>
                </c:pt>
                <c:pt idx="551">
                  <c:v>40.640574999999998</c:v>
                </c:pt>
                <c:pt idx="552">
                  <c:v>53.051883000000004</c:v>
                </c:pt>
                <c:pt idx="553">
                  <c:v>58.755645000000001</c:v>
                </c:pt>
                <c:pt idx="554">
                  <c:v>74.523268000000016</c:v>
                </c:pt>
                <c:pt idx="555">
                  <c:v>76.368428472871472</c:v>
                </c:pt>
                <c:pt idx="556">
                  <c:v>76.368428472871472</c:v>
                </c:pt>
                <c:pt idx="557">
                  <c:v>34.811223999999996</c:v>
                </c:pt>
                <c:pt idx="558">
                  <c:v>76.368428472871472</c:v>
                </c:pt>
                <c:pt idx="559">
                  <c:v>36.625644999999999</c:v>
                </c:pt>
                <c:pt idx="560">
                  <c:v>76.368428472871472</c:v>
                </c:pt>
                <c:pt idx="561">
                  <c:v>76.368428472871472</c:v>
                </c:pt>
                <c:pt idx="562">
                  <c:v>48.690061</c:v>
                </c:pt>
                <c:pt idx="563">
                  <c:v>33.629404000000001</c:v>
                </c:pt>
                <c:pt idx="564">
                  <c:v>76.368428472871472</c:v>
                </c:pt>
                <c:pt idx="565">
                  <c:v>76.368428472871472</c:v>
                </c:pt>
                <c:pt idx="566">
                  <c:v>34.297157999999996</c:v>
                </c:pt>
                <c:pt idx="567">
                  <c:v>64.564453</c:v>
                </c:pt>
                <c:pt idx="568">
                  <c:v>43.280155000000001</c:v>
                </c:pt>
                <c:pt idx="569">
                  <c:v>72.247172000000006</c:v>
                </c:pt>
                <c:pt idx="570">
                  <c:v>45.611167999999999</c:v>
                </c:pt>
                <c:pt idx="571">
                  <c:v>76.368428472871472</c:v>
                </c:pt>
                <c:pt idx="572">
                  <c:v>76.368428472871472</c:v>
                </c:pt>
                <c:pt idx="573">
                  <c:v>76.368428472871472</c:v>
                </c:pt>
                <c:pt idx="574">
                  <c:v>70.662244000000001</c:v>
                </c:pt>
                <c:pt idx="575">
                  <c:v>58.842205999999997</c:v>
                </c:pt>
                <c:pt idx="576">
                  <c:v>76.368428472871472</c:v>
                </c:pt>
                <c:pt idx="577">
                  <c:v>76.368428472871472</c:v>
                </c:pt>
                <c:pt idx="578">
                  <c:v>76.368428472871472</c:v>
                </c:pt>
                <c:pt idx="579">
                  <c:v>40.071273999999995</c:v>
                </c:pt>
                <c:pt idx="580">
                  <c:v>40.543119000000004</c:v>
                </c:pt>
                <c:pt idx="581">
                  <c:v>35.889093000000003</c:v>
                </c:pt>
                <c:pt idx="582">
                  <c:v>42.185986</c:v>
                </c:pt>
                <c:pt idx="583">
                  <c:v>73.835945000000009</c:v>
                </c:pt>
                <c:pt idx="584">
                  <c:v>112.34807184063162</c:v>
                </c:pt>
                <c:pt idx="585">
                  <c:v>90.300467999999995</c:v>
                </c:pt>
                <c:pt idx="586">
                  <c:v>68.812692000000013</c:v>
                </c:pt>
                <c:pt idx="587">
                  <c:v>75.99363000000001</c:v>
                </c:pt>
                <c:pt idx="588">
                  <c:v>112.34807184063162</c:v>
                </c:pt>
                <c:pt idx="589">
                  <c:v>112.34807184063162</c:v>
                </c:pt>
                <c:pt idx="590">
                  <c:v>106.844781</c:v>
                </c:pt>
                <c:pt idx="591">
                  <c:v>56.634459999999997</c:v>
                </c:pt>
                <c:pt idx="592">
                  <c:v>77.872731999999999</c:v>
                </c:pt>
                <c:pt idx="593">
                  <c:v>69.918723</c:v>
                </c:pt>
                <c:pt idx="594">
                  <c:v>67.541835000000006</c:v>
                </c:pt>
                <c:pt idx="595">
                  <c:v>69.613529000000014</c:v>
                </c:pt>
                <c:pt idx="596">
                  <c:v>107.87838299999999</c:v>
                </c:pt>
                <c:pt idx="597">
                  <c:v>109.66386600000001</c:v>
                </c:pt>
                <c:pt idx="598">
                  <c:v>112.34807184063162</c:v>
                </c:pt>
                <c:pt idx="599">
                  <c:v>38.613664</c:v>
                </c:pt>
                <c:pt idx="600">
                  <c:v>70.463207999999995</c:v>
                </c:pt>
                <c:pt idx="601">
                  <c:v>85.475232999999989</c:v>
                </c:pt>
                <c:pt idx="602">
                  <c:v>79.723697999999999</c:v>
                </c:pt>
                <c:pt idx="603">
                  <c:v>55.798473000000001</c:v>
                </c:pt>
                <c:pt idx="604">
                  <c:v>40.743274</c:v>
                </c:pt>
                <c:pt idx="605">
                  <c:v>55.993585999999993</c:v>
                </c:pt>
                <c:pt idx="606">
                  <c:v>54.458033999999998</c:v>
                </c:pt>
                <c:pt idx="607">
                  <c:v>37.721866999999996</c:v>
                </c:pt>
                <c:pt idx="608">
                  <c:v>56.599505999999998</c:v>
                </c:pt>
                <c:pt idx="609">
                  <c:v>68.274581999999995</c:v>
                </c:pt>
                <c:pt idx="610">
                  <c:v>48.223042</c:v>
                </c:pt>
                <c:pt idx="611">
                  <c:v>53.247691000000003</c:v>
                </c:pt>
                <c:pt idx="612">
                  <c:v>71.629503</c:v>
                </c:pt>
                <c:pt idx="613">
                  <c:v>36.237599000000003</c:v>
                </c:pt>
                <c:pt idx="614">
                  <c:v>58.408900000000003</c:v>
                </c:pt>
                <c:pt idx="615">
                  <c:v>69.797329999999988</c:v>
                </c:pt>
                <c:pt idx="616">
                  <c:v>42.754641000000007</c:v>
                </c:pt>
                <c:pt idx="617">
                  <c:v>60.751535000000004</c:v>
                </c:pt>
                <c:pt idx="618">
                  <c:v>56.420782000000003</c:v>
                </c:pt>
                <c:pt idx="619">
                  <c:v>42.805059</c:v>
                </c:pt>
                <c:pt idx="620">
                  <c:v>39.969307000000001</c:v>
                </c:pt>
                <c:pt idx="621">
                  <c:v>80.122593999999992</c:v>
                </c:pt>
                <c:pt idx="622">
                  <c:v>65.337278999999995</c:v>
                </c:pt>
                <c:pt idx="623">
                  <c:v>88.341304999999991</c:v>
                </c:pt>
                <c:pt idx="624">
                  <c:v>80.228186000000008</c:v>
                </c:pt>
                <c:pt idx="625">
                  <c:v>75.864009999999993</c:v>
                </c:pt>
                <c:pt idx="626">
                  <c:v>102.410545</c:v>
                </c:pt>
                <c:pt idx="627">
                  <c:v>91.605069</c:v>
                </c:pt>
                <c:pt idx="628">
                  <c:v>112.47807399999999</c:v>
                </c:pt>
                <c:pt idx="629">
                  <c:v>138.48805300000001</c:v>
                </c:pt>
                <c:pt idx="630">
                  <c:v>133.999719</c:v>
                </c:pt>
                <c:pt idx="631">
                  <c:v>124.657213</c:v>
                </c:pt>
                <c:pt idx="632">
                  <c:v>150.49448844659543</c:v>
                </c:pt>
                <c:pt idx="633">
                  <c:v>136.862976</c:v>
                </c:pt>
                <c:pt idx="634">
                  <c:v>127.21051900000001</c:v>
                </c:pt>
                <c:pt idx="635">
                  <c:v>137.85002799999998</c:v>
                </c:pt>
                <c:pt idx="636">
                  <c:v>142.03114300000001</c:v>
                </c:pt>
                <c:pt idx="637">
                  <c:v>139.66417899999999</c:v>
                </c:pt>
                <c:pt idx="638">
                  <c:v>116.50446799999999</c:v>
                </c:pt>
                <c:pt idx="639">
                  <c:v>128.420378</c:v>
                </c:pt>
                <c:pt idx="640">
                  <c:v>112.06968100000002</c:v>
                </c:pt>
                <c:pt idx="641">
                  <c:v>85.442315000000008</c:v>
                </c:pt>
                <c:pt idx="642">
                  <c:v>99.145418000000006</c:v>
                </c:pt>
                <c:pt idx="643">
                  <c:v>67.606906000000009</c:v>
                </c:pt>
                <c:pt idx="644">
                  <c:v>103.151397</c:v>
                </c:pt>
                <c:pt idx="645">
                  <c:v>124.299683</c:v>
                </c:pt>
                <c:pt idx="646">
                  <c:v>102.812527</c:v>
                </c:pt>
                <c:pt idx="647">
                  <c:v>117.948644</c:v>
                </c:pt>
                <c:pt idx="648">
                  <c:v>169.83085550335295</c:v>
                </c:pt>
                <c:pt idx="649">
                  <c:v>169.83085550335295</c:v>
                </c:pt>
                <c:pt idx="650">
                  <c:v>169.83085550335295</c:v>
                </c:pt>
                <c:pt idx="651">
                  <c:v>89.934914000000006</c:v>
                </c:pt>
                <c:pt idx="652">
                  <c:v>113.46282099999999</c:v>
                </c:pt>
                <c:pt idx="653">
                  <c:v>169.83085550335295</c:v>
                </c:pt>
                <c:pt idx="654">
                  <c:v>169.83085550335295</c:v>
                </c:pt>
                <c:pt idx="655">
                  <c:v>156.81841900000001</c:v>
                </c:pt>
                <c:pt idx="656">
                  <c:v>140.32770199999999</c:v>
                </c:pt>
                <c:pt idx="657">
                  <c:v>96.087165999999996</c:v>
                </c:pt>
                <c:pt idx="658">
                  <c:v>120.060744</c:v>
                </c:pt>
                <c:pt idx="659">
                  <c:v>138.27279300000001</c:v>
                </c:pt>
                <c:pt idx="660">
                  <c:v>169.83085550335295</c:v>
                </c:pt>
                <c:pt idx="661">
                  <c:v>169.83085550335295</c:v>
                </c:pt>
                <c:pt idx="662">
                  <c:v>167.591734</c:v>
                </c:pt>
                <c:pt idx="663">
                  <c:v>160.92261299999998</c:v>
                </c:pt>
                <c:pt idx="664">
                  <c:v>163.616724</c:v>
                </c:pt>
                <c:pt idx="665">
                  <c:v>131.643359</c:v>
                </c:pt>
                <c:pt idx="666">
                  <c:v>109.909254</c:v>
                </c:pt>
                <c:pt idx="667">
                  <c:v>169.83085550335295</c:v>
                </c:pt>
                <c:pt idx="668">
                  <c:v>169.41041000000001</c:v>
                </c:pt>
                <c:pt idx="669">
                  <c:v>168.57188500000001</c:v>
                </c:pt>
                <c:pt idx="670">
                  <c:v>145.24848300000002</c:v>
                </c:pt>
                <c:pt idx="671">
                  <c:v>152.76104000000001</c:v>
                </c:pt>
                <c:pt idx="672">
                  <c:v>154.68800699999997</c:v>
                </c:pt>
                <c:pt idx="673">
                  <c:v>141.98985500000001</c:v>
                </c:pt>
                <c:pt idx="674">
                  <c:v>132.70071299999998</c:v>
                </c:pt>
                <c:pt idx="675">
                  <c:v>125.39351300000001</c:v>
                </c:pt>
                <c:pt idx="676">
                  <c:v>149.50188500000002</c:v>
                </c:pt>
                <c:pt idx="677">
                  <c:v>182.714585</c:v>
                </c:pt>
                <c:pt idx="678">
                  <c:v>193.94298299999997</c:v>
                </c:pt>
                <c:pt idx="679">
                  <c:v>112.04250399999999</c:v>
                </c:pt>
                <c:pt idx="680">
                  <c:v>117.620048</c:v>
                </c:pt>
                <c:pt idx="681">
                  <c:v>166.00760900000003</c:v>
                </c:pt>
                <c:pt idx="682">
                  <c:v>184.034976</c:v>
                </c:pt>
                <c:pt idx="683">
                  <c:v>200.3711069030802</c:v>
                </c:pt>
                <c:pt idx="684">
                  <c:v>200.3711069030802</c:v>
                </c:pt>
                <c:pt idx="685">
                  <c:v>200.3711069030802</c:v>
                </c:pt>
                <c:pt idx="686">
                  <c:v>178.28428</c:v>
                </c:pt>
                <c:pt idx="687">
                  <c:v>166.18034999999998</c:v>
                </c:pt>
                <c:pt idx="688">
                  <c:v>200.3711069030802</c:v>
                </c:pt>
                <c:pt idx="689">
                  <c:v>144.19045600000001</c:v>
                </c:pt>
                <c:pt idx="690">
                  <c:v>190.07666500000002</c:v>
                </c:pt>
                <c:pt idx="691">
                  <c:v>167.42293799999999</c:v>
                </c:pt>
                <c:pt idx="692">
                  <c:v>165.12406699999997</c:v>
                </c:pt>
                <c:pt idx="693">
                  <c:v>153.28272699999999</c:v>
                </c:pt>
                <c:pt idx="694">
                  <c:v>147.98727</c:v>
                </c:pt>
                <c:pt idx="695">
                  <c:v>200.3711069030802</c:v>
                </c:pt>
                <c:pt idx="696">
                  <c:v>168.31767499999998</c:v>
                </c:pt>
                <c:pt idx="697">
                  <c:v>136.538625</c:v>
                </c:pt>
                <c:pt idx="698">
                  <c:v>200.3711069030802</c:v>
                </c:pt>
                <c:pt idx="699">
                  <c:v>154.84169500000002</c:v>
                </c:pt>
                <c:pt idx="700">
                  <c:v>122.266015</c:v>
                </c:pt>
                <c:pt idx="701">
                  <c:v>147.454926</c:v>
                </c:pt>
                <c:pt idx="702">
                  <c:v>179.53910300000001</c:v>
                </c:pt>
                <c:pt idx="703">
                  <c:v>208.95022800000001</c:v>
                </c:pt>
                <c:pt idx="704">
                  <c:v>226.37026</c:v>
                </c:pt>
                <c:pt idx="705">
                  <c:v>184.93257999999997</c:v>
                </c:pt>
                <c:pt idx="706">
                  <c:v>183.60934400000002</c:v>
                </c:pt>
                <c:pt idx="707">
                  <c:v>126.293412</c:v>
                </c:pt>
                <c:pt idx="708">
                  <c:v>137.04002</c:v>
                </c:pt>
                <c:pt idx="709">
                  <c:v>209.36319800000001</c:v>
                </c:pt>
                <c:pt idx="710">
                  <c:v>196.17221600000002</c:v>
                </c:pt>
                <c:pt idx="711">
                  <c:v>207.20928199999997</c:v>
                </c:pt>
                <c:pt idx="712">
                  <c:v>205.77052799999998</c:v>
                </c:pt>
                <c:pt idx="713">
                  <c:v>179.25187199999999</c:v>
                </c:pt>
                <c:pt idx="714">
                  <c:v>218.26626000000002</c:v>
                </c:pt>
                <c:pt idx="715">
                  <c:v>182.293646</c:v>
                </c:pt>
                <c:pt idx="716">
                  <c:v>212.505225</c:v>
                </c:pt>
                <c:pt idx="717">
                  <c:v>215.87432400000003</c:v>
                </c:pt>
                <c:pt idx="718">
                  <c:v>233.45493177946088</c:v>
                </c:pt>
                <c:pt idx="719">
                  <c:v>227.00799099999998</c:v>
                </c:pt>
                <c:pt idx="720">
                  <c:v>233.45493177946088</c:v>
                </c:pt>
                <c:pt idx="721">
                  <c:v>197.348084</c:v>
                </c:pt>
                <c:pt idx="722">
                  <c:v>168.26594700000001</c:v>
                </c:pt>
                <c:pt idx="723">
                  <c:v>214.53951900000001</c:v>
                </c:pt>
                <c:pt idx="724">
                  <c:v>233.45493177946088</c:v>
                </c:pt>
                <c:pt idx="725">
                  <c:v>233.45493177946088</c:v>
                </c:pt>
                <c:pt idx="726">
                  <c:v>233.45493177946088</c:v>
                </c:pt>
                <c:pt idx="727">
                  <c:v>233.45493177946088</c:v>
                </c:pt>
                <c:pt idx="728">
                  <c:v>233.45493177946088</c:v>
                </c:pt>
                <c:pt idx="729">
                  <c:v>219.31225499999999</c:v>
                </c:pt>
                <c:pt idx="730">
                  <c:v>244.77613226444171</c:v>
                </c:pt>
                <c:pt idx="731">
                  <c:v>231.36151899999999</c:v>
                </c:pt>
                <c:pt idx="732">
                  <c:v>244.77613226444171</c:v>
                </c:pt>
                <c:pt idx="733">
                  <c:v>219.550253</c:v>
                </c:pt>
                <c:pt idx="734">
                  <c:v>244.44533100000001</c:v>
                </c:pt>
                <c:pt idx="735">
                  <c:v>229.82373199999998</c:v>
                </c:pt>
                <c:pt idx="736">
                  <c:v>186.97265600000003</c:v>
                </c:pt>
                <c:pt idx="737">
                  <c:v>244.77613226444171</c:v>
                </c:pt>
                <c:pt idx="738">
                  <c:v>233.35488700000002</c:v>
                </c:pt>
                <c:pt idx="739">
                  <c:v>216.63288699999998</c:v>
                </c:pt>
                <c:pt idx="740">
                  <c:v>224.41812399999998</c:v>
                </c:pt>
                <c:pt idx="741">
                  <c:v>242.751465</c:v>
                </c:pt>
                <c:pt idx="742">
                  <c:v>215.03872399999997</c:v>
                </c:pt>
                <c:pt idx="743">
                  <c:v>196.41823399999998</c:v>
                </c:pt>
                <c:pt idx="744">
                  <c:v>244.77613226444171</c:v>
                </c:pt>
                <c:pt idx="745">
                  <c:v>244.77613226444171</c:v>
                </c:pt>
                <c:pt idx="746">
                  <c:v>244.77613226444171</c:v>
                </c:pt>
                <c:pt idx="747">
                  <c:v>244.77613226444171</c:v>
                </c:pt>
                <c:pt idx="748">
                  <c:v>244.77613226444171</c:v>
                </c:pt>
                <c:pt idx="749">
                  <c:v>230.17152100000001</c:v>
                </c:pt>
                <c:pt idx="750">
                  <c:v>226.349996</c:v>
                </c:pt>
                <c:pt idx="751">
                  <c:v>240.11221599999999</c:v>
                </c:pt>
                <c:pt idx="752">
                  <c:v>244.77613226444171</c:v>
                </c:pt>
                <c:pt idx="753">
                  <c:v>244.77613226444171</c:v>
                </c:pt>
                <c:pt idx="754">
                  <c:v>244.77613226444171</c:v>
                </c:pt>
                <c:pt idx="755">
                  <c:v>244.77613226444171</c:v>
                </c:pt>
                <c:pt idx="756">
                  <c:v>244.77613226444171</c:v>
                </c:pt>
                <c:pt idx="757">
                  <c:v>208.73076200000003</c:v>
                </c:pt>
                <c:pt idx="758">
                  <c:v>244.77613226444171</c:v>
                </c:pt>
                <c:pt idx="759">
                  <c:v>244.77613226444171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38-44F7-B176-527443CE71EF}"/>
              </c:ext>
            </c:extLst>
          </c:dPt>
          <c:cat>
            <c:multiLvlStrRef>
              <c:f>'Data 5'!$F$2:$G$761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</c:v>
                  </c:pt>
                  <c:pt idx="214">
                    <c:v>2025</c:v>
                  </c:pt>
                  <c:pt idx="579">
                    <c:v>2026</c:v>
                  </c:pt>
                </c:lvl>
              </c:multiLvlStrCache>
            </c:multiLvlStrRef>
          </c:cat>
          <c:val>
            <c:numRef>
              <c:f>'Data 5'!$H$2:$H$762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Dat_07!$C$50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multiLvlStrRef>
              <c:f>Dat_07!$G$52:$H$812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 </c:v>
                  </c:pt>
                  <c:pt idx="214">
                    <c:v>2025 </c:v>
                  </c:pt>
                  <c:pt idx="579">
                    <c:v>2026 </c:v>
                  </c:pt>
                </c:lvl>
              </c:multiLvlStrCache>
            </c:multiLvlStrRef>
          </c:cat>
          <c:val>
            <c:numRef>
              <c:f>Dat_07!$C$52:$C$811</c:f>
              <c:numCache>
                <c:formatCode>#,##0</c:formatCode>
                <c:ptCount val="760"/>
                <c:pt idx="0">
                  <c:v>40.377900895550802</c:v>
                </c:pt>
                <c:pt idx="1">
                  <c:v>37.02979080555081</c:v>
                </c:pt>
                <c:pt idx="2">
                  <c:v>67.751569642548944</c:v>
                </c:pt>
                <c:pt idx="3">
                  <c:v>98.805928746552667</c:v>
                </c:pt>
                <c:pt idx="4">
                  <c:v>79.432074932758439</c:v>
                </c:pt>
                <c:pt idx="5">
                  <c:v>69.188575634758436</c:v>
                </c:pt>
                <c:pt idx="6">
                  <c:v>70.878695622756581</c:v>
                </c:pt>
                <c:pt idx="7">
                  <c:v>50.981575186758434</c:v>
                </c:pt>
                <c:pt idx="8">
                  <c:v>20.362609987756571</c:v>
                </c:pt>
                <c:pt idx="9">
                  <c:v>36.739903890758434</c:v>
                </c:pt>
                <c:pt idx="10">
                  <c:v>39.157048026758439</c:v>
                </c:pt>
                <c:pt idx="11">
                  <c:v>60.845410224167765</c:v>
                </c:pt>
                <c:pt idx="12">
                  <c:v>66.206468161169624</c:v>
                </c:pt>
                <c:pt idx="13">
                  <c:v>57.264168413165898</c:v>
                </c:pt>
                <c:pt idx="14">
                  <c:v>31.127024317171482</c:v>
                </c:pt>
                <c:pt idx="15">
                  <c:v>37.974406523165896</c:v>
                </c:pt>
                <c:pt idx="16">
                  <c:v>59.228509084169623</c:v>
                </c:pt>
                <c:pt idx="17">
                  <c:v>81.494912965169632</c:v>
                </c:pt>
                <c:pt idx="18">
                  <c:v>86.923513643855273</c:v>
                </c:pt>
                <c:pt idx="19">
                  <c:v>75.492146505858997</c:v>
                </c:pt>
                <c:pt idx="20">
                  <c:v>73.267400409853408</c:v>
                </c:pt>
                <c:pt idx="21">
                  <c:v>49.069099326860858</c:v>
                </c:pt>
                <c:pt idx="22">
                  <c:v>35.045765844855275</c:v>
                </c:pt>
                <c:pt idx="23">
                  <c:v>54.089537297859003</c:v>
                </c:pt>
                <c:pt idx="24">
                  <c:v>69.452281835855274</c:v>
                </c:pt>
                <c:pt idx="25">
                  <c:v>62.754375802933225</c:v>
                </c:pt>
                <c:pt idx="26">
                  <c:v>58.297634420935076</c:v>
                </c:pt>
                <c:pt idx="27">
                  <c:v>52.009208182935076</c:v>
                </c:pt>
                <c:pt idx="28">
                  <c:v>34.695431029936955</c:v>
                </c:pt>
                <c:pt idx="29">
                  <c:v>31.637069029933219</c:v>
                </c:pt>
                <c:pt idx="30">
                  <c:v>21.495916996933222</c:v>
                </c:pt>
                <c:pt idx="31">
                  <c:v>34.492029538935078</c:v>
                </c:pt>
                <c:pt idx="32">
                  <c:v>52.16376323260716</c:v>
                </c:pt>
                <c:pt idx="33">
                  <c:v>44.163039307609026</c:v>
                </c:pt>
                <c:pt idx="34">
                  <c:v>45.345475433607163</c:v>
                </c:pt>
                <c:pt idx="35">
                  <c:v>15.12081097160717</c:v>
                </c:pt>
                <c:pt idx="36">
                  <c:v>19.39214861760717</c:v>
                </c:pt>
                <c:pt idx="37">
                  <c:v>35.733574139609033</c:v>
                </c:pt>
                <c:pt idx="38">
                  <c:v>42.921010012607162</c:v>
                </c:pt>
                <c:pt idx="39">
                  <c:v>42.444933230845052</c:v>
                </c:pt>
                <c:pt idx="40">
                  <c:v>42.768076100841327</c:v>
                </c:pt>
                <c:pt idx="41">
                  <c:v>27.577513094843191</c:v>
                </c:pt>
                <c:pt idx="42">
                  <c:v>13.606924256841332</c:v>
                </c:pt>
                <c:pt idx="43">
                  <c:v>5.4347649878450541</c:v>
                </c:pt>
                <c:pt idx="44">
                  <c:v>11.368316333841328</c:v>
                </c:pt>
                <c:pt idx="45">
                  <c:v>34.957289322846918</c:v>
                </c:pt>
                <c:pt idx="46">
                  <c:v>27.107350574998883</c:v>
                </c:pt>
                <c:pt idx="47">
                  <c:v>47.384967555000735</c:v>
                </c:pt>
                <c:pt idx="48">
                  <c:v>32.610105791002596</c:v>
                </c:pt>
                <c:pt idx="49">
                  <c:v>2.8838368070007419</c:v>
                </c:pt>
                <c:pt idx="50">
                  <c:v>2.773625599002604</c:v>
                </c:pt>
                <c:pt idx="51">
                  <c:v>2.6918520630007405</c:v>
                </c:pt>
                <c:pt idx="52">
                  <c:v>4.8173808750007447</c:v>
                </c:pt>
                <c:pt idx="53">
                  <c:v>28.556996525535084</c:v>
                </c:pt>
                <c:pt idx="54">
                  <c:v>14.895582087538802</c:v>
                </c:pt>
                <c:pt idx="55">
                  <c:v>13.942140612535077</c:v>
                </c:pt>
                <c:pt idx="56">
                  <c:v>8.5909319685369407</c:v>
                </c:pt>
                <c:pt idx="57">
                  <c:v>2.8758978345369397</c:v>
                </c:pt>
                <c:pt idx="58">
                  <c:v>19.15130785353508</c:v>
                </c:pt>
                <c:pt idx="59">
                  <c:v>16.346622300538801</c:v>
                </c:pt>
                <c:pt idx="60">
                  <c:v>24.35939520223344</c:v>
                </c:pt>
                <c:pt idx="61">
                  <c:v>3.2914033582334379</c:v>
                </c:pt>
                <c:pt idx="62">
                  <c:v>1.8560847702352985</c:v>
                </c:pt>
                <c:pt idx="63">
                  <c:v>3.1090699312334329</c:v>
                </c:pt>
                <c:pt idx="64">
                  <c:v>2.4807760832334314</c:v>
                </c:pt>
                <c:pt idx="65">
                  <c:v>3.27927523323716</c:v>
                </c:pt>
                <c:pt idx="66">
                  <c:v>3.0810359062334318</c:v>
                </c:pt>
                <c:pt idx="67">
                  <c:v>3.19426276293696</c:v>
                </c:pt>
                <c:pt idx="68">
                  <c:v>3.3697791099406897</c:v>
                </c:pt>
                <c:pt idx="69">
                  <c:v>3.9030743759388278</c:v>
                </c:pt>
                <c:pt idx="70">
                  <c:v>2.8245451479388213</c:v>
                </c:pt>
                <c:pt idx="71">
                  <c:v>3.2445350539369611</c:v>
                </c:pt>
                <c:pt idx="72">
                  <c:v>2.3591191749406861</c:v>
                </c:pt>
                <c:pt idx="73">
                  <c:v>6.1163461269388204</c:v>
                </c:pt>
                <c:pt idx="74">
                  <c:v>11.974662251003625</c:v>
                </c:pt>
                <c:pt idx="75">
                  <c:v>2.313891444005487</c:v>
                </c:pt>
                <c:pt idx="76">
                  <c:v>2.7889215240073537</c:v>
                </c:pt>
                <c:pt idx="77">
                  <c:v>3.6637183840073484</c:v>
                </c:pt>
                <c:pt idx="78">
                  <c:v>3.1426225090036239</c:v>
                </c:pt>
                <c:pt idx="79">
                  <c:v>2.7647522880036268</c:v>
                </c:pt>
                <c:pt idx="80">
                  <c:v>8.3475346870073484</c:v>
                </c:pt>
                <c:pt idx="81">
                  <c:v>13.457443864621782</c:v>
                </c:pt>
                <c:pt idx="82">
                  <c:v>17.84504337562737</c:v>
                </c:pt>
                <c:pt idx="83">
                  <c:v>13.587899395625515</c:v>
                </c:pt>
                <c:pt idx="84">
                  <c:v>3.139176939625504</c:v>
                </c:pt>
                <c:pt idx="85">
                  <c:v>3.6239849436255063</c:v>
                </c:pt>
                <c:pt idx="86">
                  <c:v>18.695398971623646</c:v>
                </c:pt>
                <c:pt idx="87">
                  <c:v>19.764271587625508</c:v>
                </c:pt>
                <c:pt idx="88">
                  <c:v>25.071713284847881</c:v>
                </c:pt>
                <c:pt idx="89">
                  <c:v>17.686682008849747</c:v>
                </c:pt>
                <c:pt idx="90">
                  <c:v>20.918469743849744</c:v>
                </c:pt>
                <c:pt idx="91">
                  <c:v>2.742251960849746</c:v>
                </c:pt>
                <c:pt idx="92">
                  <c:v>3.3861522168516096</c:v>
                </c:pt>
                <c:pt idx="93">
                  <c:v>3.4677666688497486</c:v>
                </c:pt>
                <c:pt idx="94">
                  <c:v>2.9788258928478828</c:v>
                </c:pt>
                <c:pt idx="95">
                  <c:v>13.350197940835489</c:v>
                </c:pt>
                <c:pt idx="96">
                  <c:v>44.858035183837345</c:v>
                </c:pt>
                <c:pt idx="97">
                  <c:v>39.888847947835487</c:v>
                </c:pt>
                <c:pt idx="98">
                  <c:v>44.693236418833621</c:v>
                </c:pt>
                <c:pt idx="99">
                  <c:v>24.864796343835486</c:v>
                </c:pt>
                <c:pt idx="100">
                  <c:v>34.384552203833621</c:v>
                </c:pt>
                <c:pt idx="101">
                  <c:v>31.774274239835488</c:v>
                </c:pt>
                <c:pt idx="102">
                  <c:v>28.271422682858041</c:v>
                </c:pt>
                <c:pt idx="103">
                  <c:v>31.615490350856177</c:v>
                </c:pt>
                <c:pt idx="104">
                  <c:v>19.226709610854318</c:v>
                </c:pt>
                <c:pt idx="105">
                  <c:v>10.20638647585618</c:v>
                </c:pt>
                <c:pt idx="106">
                  <c:v>4.7013636978543181</c:v>
                </c:pt>
                <c:pt idx="107">
                  <c:v>8.5534986828543182</c:v>
                </c:pt>
                <c:pt idx="108">
                  <c:v>9.7971874988580421</c:v>
                </c:pt>
                <c:pt idx="109">
                  <c:v>29.041916538356869</c:v>
                </c:pt>
                <c:pt idx="110">
                  <c:v>60.274292950355012</c:v>
                </c:pt>
                <c:pt idx="111">
                  <c:v>63.832625350356871</c:v>
                </c:pt>
                <c:pt idx="112">
                  <c:v>50.197664322356871</c:v>
                </c:pt>
                <c:pt idx="113">
                  <c:v>43.917412422356882</c:v>
                </c:pt>
                <c:pt idx="114">
                  <c:v>42.279065178355012</c:v>
                </c:pt>
                <c:pt idx="115">
                  <c:v>43.818669830356868</c:v>
                </c:pt>
                <c:pt idx="116">
                  <c:v>49.660390897962571</c:v>
                </c:pt>
                <c:pt idx="117">
                  <c:v>36.476566837960704</c:v>
                </c:pt>
                <c:pt idx="118">
                  <c:v>37.369163633964433</c:v>
                </c:pt>
                <c:pt idx="119">
                  <c:v>45.754677949964432</c:v>
                </c:pt>
                <c:pt idx="120">
                  <c:v>37.675193005962569</c:v>
                </c:pt>
                <c:pt idx="121">
                  <c:v>63.93063872696257</c:v>
                </c:pt>
                <c:pt idx="122">
                  <c:v>70.121564224962569</c:v>
                </c:pt>
                <c:pt idx="123">
                  <c:v>58.093691492615221</c:v>
                </c:pt>
                <c:pt idx="124">
                  <c:v>63.505284593613354</c:v>
                </c:pt>
                <c:pt idx="125">
                  <c:v>75.064582163617089</c:v>
                </c:pt>
                <c:pt idx="126">
                  <c:v>63.668841232613353</c:v>
                </c:pt>
                <c:pt idx="127">
                  <c:v>32.815466096617079</c:v>
                </c:pt>
                <c:pt idx="128">
                  <c:v>54.135526761615218</c:v>
                </c:pt>
                <c:pt idx="129">
                  <c:v>44.202079119613359</c:v>
                </c:pt>
                <c:pt idx="130">
                  <c:v>108.60683495363436</c:v>
                </c:pt>
                <c:pt idx="131">
                  <c:v>142.73072479663435</c:v>
                </c:pt>
                <c:pt idx="132">
                  <c:v>165.58634543963248</c:v>
                </c:pt>
                <c:pt idx="133">
                  <c:v>154.05349895263433</c:v>
                </c:pt>
                <c:pt idx="134">
                  <c:v>138.64484870463434</c:v>
                </c:pt>
                <c:pt idx="135">
                  <c:v>175.02548310063435</c:v>
                </c:pt>
                <c:pt idx="136">
                  <c:v>159.86040882463246</c:v>
                </c:pt>
                <c:pt idx="137">
                  <c:v>125.9213486946114</c:v>
                </c:pt>
                <c:pt idx="138">
                  <c:v>121.5896730726114</c:v>
                </c:pt>
                <c:pt idx="139">
                  <c:v>130.58842820161513</c:v>
                </c:pt>
                <c:pt idx="140">
                  <c:v>125.70113585760954</c:v>
                </c:pt>
                <c:pt idx="141">
                  <c:v>114.88872600161326</c:v>
                </c:pt>
                <c:pt idx="142">
                  <c:v>146.73080581060955</c:v>
                </c:pt>
                <c:pt idx="143">
                  <c:v>144.65192906961141</c:v>
                </c:pt>
                <c:pt idx="144">
                  <c:v>99.56140176153194</c:v>
                </c:pt>
                <c:pt idx="145">
                  <c:v>89.822734455530082</c:v>
                </c:pt>
                <c:pt idx="146">
                  <c:v>108.99365419853194</c:v>
                </c:pt>
                <c:pt idx="147">
                  <c:v>104.82100935853008</c:v>
                </c:pt>
                <c:pt idx="148">
                  <c:v>101.01872951353381</c:v>
                </c:pt>
                <c:pt idx="149">
                  <c:v>85.310415566530082</c:v>
                </c:pt>
                <c:pt idx="150">
                  <c:v>107.55351393853009</c:v>
                </c:pt>
                <c:pt idx="151">
                  <c:v>114.25556064982062</c:v>
                </c:pt>
                <c:pt idx="152">
                  <c:v>120.62257121381876</c:v>
                </c:pt>
                <c:pt idx="153">
                  <c:v>108.76862090582061</c:v>
                </c:pt>
                <c:pt idx="154">
                  <c:v>109.24002074981875</c:v>
                </c:pt>
                <c:pt idx="155">
                  <c:v>95.767610525818739</c:v>
                </c:pt>
                <c:pt idx="156">
                  <c:v>119.16915144981874</c:v>
                </c:pt>
                <c:pt idx="157">
                  <c:v>129.5796302458206</c:v>
                </c:pt>
                <c:pt idx="158">
                  <c:v>87.784054995033571</c:v>
                </c:pt>
                <c:pt idx="159">
                  <c:v>88.959883919029849</c:v>
                </c:pt>
                <c:pt idx="160">
                  <c:v>102.86864674303358</c:v>
                </c:pt>
                <c:pt idx="161">
                  <c:v>68.990421255031706</c:v>
                </c:pt>
                <c:pt idx="162">
                  <c:v>48.830029151029841</c:v>
                </c:pt>
                <c:pt idx="163">
                  <c:v>48.744043399035434</c:v>
                </c:pt>
                <c:pt idx="164">
                  <c:v>40.111187227031714</c:v>
                </c:pt>
                <c:pt idx="165">
                  <c:v>68.92554444516648</c:v>
                </c:pt>
                <c:pt idx="166">
                  <c:v>75.349298657168347</c:v>
                </c:pt>
                <c:pt idx="167">
                  <c:v>68.27269855316834</c:v>
                </c:pt>
                <c:pt idx="168">
                  <c:v>58.901813425168335</c:v>
                </c:pt>
                <c:pt idx="169">
                  <c:v>58.648718901168337</c:v>
                </c:pt>
                <c:pt idx="170">
                  <c:v>72.756647989168343</c:v>
                </c:pt>
                <c:pt idx="171">
                  <c:v>61.97943983716835</c:v>
                </c:pt>
                <c:pt idx="172">
                  <c:v>57.658339443207119</c:v>
                </c:pt>
                <c:pt idx="173">
                  <c:v>54.582812007208979</c:v>
                </c:pt>
                <c:pt idx="174">
                  <c:v>77.586020579208977</c:v>
                </c:pt>
                <c:pt idx="175">
                  <c:v>44.323642247205257</c:v>
                </c:pt>
                <c:pt idx="176">
                  <c:v>44.593260563208986</c:v>
                </c:pt>
                <c:pt idx="177">
                  <c:v>66.958570435208983</c:v>
                </c:pt>
                <c:pt idx="178">
                  <c:v>92.805289711207124</c:v>
                </c:pt>
                <c:pt idx="179">
                  <c:v>88.930039110948542</c:v>
                </c:pt>
                <c:pt idx="180">
                  <c:v>87.891229222946663</c:v>
                </c:pt>
                <c:pt idx="181">
                  <c:v>83.703371382946671</c:v>
                </c:pt>
                <c:pt idx="182">
                  <c:v>75.625630506946678</c:v>
                </c:pt>
                <c:pt idx="183">
                  <c:v>83.340873374948544</c:v>
                </c:pt>
                <c:pt idx="184">
                  <c:v>89.493504218946683</c:v>
                </c:pt>
                <c:pt idx="185">
                  <c:v>85.292821534948544</c:v>
                </c:pt>
                <c:pt idx="186">
                  <c:v>79.073749727937155</c:v>
                </c:pt>
                <c:pt idx="187">
                  <c:v>78.918242007935291</c:v>
                </c:pt>
                <c:pt idx="188">
                  <c:v>64.075719263935298</c:v>
                </c:pt>
                <c:pt idx="189">
                  <c:v>40.149759339937155</c:v>
                </c:pt>
                <c:pt idx="190">
                  <c:v>38.793037971937153</c:v>
                </c:pt>
                <c:pt idx="191">
                  <c:v>63.311381991937154</c:v>
                </c:pt>
                <c:pt idx="192">
                  <c:v>102.48415081593529</c:v>
                </c:pt>
                <c:pt idx="193">
                  <c:v>108.21798146243319</c:v>
                </c:pt>
                <c:pt idx="194">
                  <c:v>113.79107090243134</c:v>
                </c:pt>
                <c:pt idx="195">
                  <c:v>110.81075029043133</c:v>
                </c:pt>
                <c:pt idx="196">
                  <c:v>80.217872350431335</c:v>
                </c:pt>
                <c:pt idx="197">
                  <c:v>39.711118074433195</c:v>
                </c:pt>
                <c:pt idx="198">
                  <c:v>64.083001914433197</c:v>
                </c:pt>
                <c:pt idx="199">
                  <c:v>70.465533982431324</c:v>
                </c:pt>
                <c:pt idx="200">
                  <c:v>92.589848698818443</c:v>
                </c:pt>
                <c:pt idx="201">
                  <c:v>75.700622666816571</c:v>
                </c:pt>
                <c:pt idx="202">
                  <c:v>92.443503002818446</c:v>
                </c:pt>
                <c:pt idx="203">
                  <c:v>78.194941970816586</c:v>
                </c:pt>
                <c:pt idx="204">
                  <c:v>61.788172530818443</c:v>
                </c:pt>
                <c:pt idx="205">
                  <c:v>57.373573711818437</c:v>
                </c:pt>
                <c:pt idx="206">
                  <c:v>52.435381449816582</c:v>
                </c:pt>
                <c:pt idx="207">
                  <c:v>61.070524667621214</c:v>
                </c:pt>
                <c:pt idx="208">
                  <c:v>89.444197123621208</c:v>
                </c:pt>
                <c:pt idx="209">
                  <c:v>90.757717751621215</c:v>
                </c:pt>
                <c:pt idx="210">
                  <c:v>93.634406132621208</c:v>
                </c:pt>
                <c:pt idx="211">
                  <c:v>85.876438035621206</c:v>
                </c:pt>
                <c:pt idx="212">
                  <c:v>98.537026639621203</c:v>
                </c:pt>
                <c:pt idx="213">
                  <c:v>93.20605021562308</c:v>
                </c:pt>
                <c:pt idx="214">
                  <c:v>53.986044277254123</c:v>
                </c:pt>
                <c:pt idx="215">
                  <c:v>69.503196627254113</c:v>
                </c:pt>
                <c:pt idx="216">
                  <c:v>66.45143115325412</c:v>
                </c:pt>
                <c:pt idx="217">
                  <c:v>75.53262317825785</c:v>
                </c:pt>
                <c:pt idx="218">
                  <c:v>41.699737590254124</c:v>
                </c:pt>
                <c:pt idx="219">
                  <c:v>49.457396382254124</c:v>
                </c:pt>
                <c:pt idx="220">
                  <c:v>67.336947990255979</c:v>
                </c:pt>
                <c:pt idx="221">
                  <c:v>136.78668112135671</c:v>
                </c:pt>
                <c:pt idx="222">
                  <c:v>137.42684952435485</c:v>
                </c:pt>
                <c:pt idx="223">
                  <c:v>161.00422858735669</c:v>
                </c:pt>
                <c:pt idx="224">
                  <c:v>126.4835311443567</c:v>
                </c:pt>
                <c:pt idx="225">
                  <c:v>111.62172161635669</c:v>
                </c:pt>
                <c:pt idx="226">
                  <c:v>151.68971260435669</c:v>
                </c:pt>
                <c:pt idx="227">
                  <c:v>167.14070640035669</c:v>
                </c:pt>
                <c:pt idx="228">
                  <c:v>102.51417813263284</c:v>
                </c:pt>
                <c:pt idx="229">
                  <c:v>105.57352440863284</c:v>
                </c:pt>
                <c:pt idx="230">
                  <c:v>110.19689328463282</c:v>
                </c:pt>
                <c:pt idx="231">
                  <c:v>105.46647364463281</c:v>
                </c:pt>
                <c:pt idx="232">
                  <c:v>91.843949272630965</c:v>
                </c:pt>
                <c:pt idx="233">
                  <c:v>106.80647157663282</c:v>
                </c:pt>
                <c:pt idx="234">
                  <c:v>91.954721448634686</c:v>
                </c:pt>
                <c:pt idx="235">
                  <c:v>168.3210030544453</c:v>
                </c:pt>
                <c:pt idx="236">
                  <c:v>178.69275573044339</c:v>
                </c:pt>
                <c:pt idx="237">
                  <c:v>160.10215898644714</c:v>
                </c:pt>
                <c:pt idx="238">
                  <c:v>138.36786372644343</c:v>
                </c:pt>
                <c:pt idx="239">
                  <c:v>126.88157139844529</c:v>
                </c:pt>
                <c:pt idx="240">
                  <c:v>133.75775796244343</c:v>
                </c:pt>
                <c:pt idx="241">
                  <c:v>163.20963387044341</c:v>
                </c:pt>
                <c:pt idx="242">
                  <c:v>294.59153930035598</c:v>
                </c:pt>
                <c:pt idx="243">
                  <c:v>284.58255372035046</c:v>
                </c:pt>
                <c:pt idx="244">
                  <c:v>315.55065295635046</c:v>
                </c:pt>
                <c:pt idx="245">
                  <c:v>307.18967444835602</c:v>
                </c:pt>
                <c:pt idx="246">
                  <c:v>332.03252094435226</c:v>
                </c:pt>
                <c:pt idx="247">
                  <c:v>338.51311530435231</c:v>
                </c:pt>
                <c:pt idx="248">
                  <c:v>349.92630046835041</c:v>
                </c:pt>
                <c:pt idx="249">
                  <c:v>158.57640116120609</c:v>
                </c:pt>
                <c:pt idx="250">
                  <c:v>163.97919883720795</c:v>
                </c:pt>
                <c:pt idx="251">
                  <c:v>156.4095246172061</c:v>
                </c:pt>
                <c:pt idx="252">
                  <c:v>132.31267980120796</c:v>
                </c:pt>
                <c:pt idx="253">
                  <c:v>141.74321268120983</c:v>
                </c:pt>
                <c:pt idx="254">
                  <c:v>161.18742222520609</c:v>
                </c:pt>
                <c:pt idx="255">
                  <c:v>157.21622700920611</c:v>
                </c:pt>
                <c:pt idx="256">
                  <c:v>153.14956008996853</c:v>
                </c:pt>
                <c:pt idx="257">
                  <c:v>153.16600436197038</c:v>
                </c:pt>
                <c:pt idx="258">
                  <c:v>159.62962107396663</c:v>
                </c:pt>
                <c:pt idx="259">
                  <c:v>145.24807740197036</c:v>
                </c:pt>
                <c:pt idx="260">
                  <c:v>139.31324646196666</c:v>
                </c:pt>
                <c:pt idx="261">
                  <c:v>152.62523166597038</c:v>
                </c:pt>
                <c:pt idx="262">
                  <c:v>136.07652472996853</c:v>
                </c:pt>
                <c:pt idx="263">
                  <c:v>141.0527792297126</c:v>
                </c:pt>
                <c:pt idx="264">
                  <c:v>121.78426129771444</c:v>
                </c:pt>
                <c:pt idx="265">
                  <c:v>87.426524705710705</c:v>
                </c:pt>
                <c:pt idx="266">
                  <c:v>114.18082720971816</c:v>
                </c:pt>
                <c:pt idx="267">
                  <c:v>83.044860149710715</c:v>
                </c:pt>
                <c:pt idx="268">
                  <c:v>99.154974373714424</c:v>
                </c:pt>
                <c:pt idx="269">
                  <c:v>110.72487132571072</c:v>
                </c:pt>
                <c:pt idx="270">
                  <c:v>124.40638517880809</c:v>
                </c:pt>
                <c:pt idx="271">
                  <c:v>138.88854172280622</c:v>
                </c:pt>
                <c:pt idx="272">
                  <c:v>131.33349814280808</c:v>
                </c:pt>
                <c:pt idx="273">
                  <c:v>80.165669062808078</c:v>
                </c:pt>
                <c:pt idx="274">
                  <c:v>73.145512046808079</c:v>
                </c:pt>
                <c:pt idx="275">
                  <c:v>121.25406093080623</c:v>
                </c:pt>
                <c:pt idx="276">
                  <c:v>119.62993390280809</c:v>
                </c:pt>
                <c:pt idx="277">
                  <c:v>186.19599156423655</c:v>
                </c:pt>
                <c:pt idx="278">
                  <c:v>177.20844322823655</c:v>
                </c:pt>
                <c:pt idx="279">
                  <c:v>163.06308969623467</c:v>
                </c:pt>
                <c:pt idx="280">
                  <c:v>125.69828429223841</c:v>
                </c:pt>
                <c:pt idx="281">
                  <c:v>150.68621081623471</c:v>
                </c:pt>
                <c:pt idx="282">
                  <c:v>203.33182016823656</c:v>
                </c:pt>
                <c:pt idx="283">
                  <c:v>206.57750930423285</c:v>
                </c:pt>
                <c:pt idx="284">
                  <c:v>260.72134208219273</c:v>
                </c:pt>
                <c:pt idx="285">
                  <c:v>279.58361424218526</c:v>
                </c:pt>
                <c:pt idx="286">
                  <c:v>269.008879670189</c:v>
                </c:pt>
                <c:pt idx="287">
                  <c:v>259.37094106618713</c:v>
                </c:pt>
                <c:pt idx="288">
                  <c:v>258.50991149818901</c:v>
                </c:pt>
                <c:pt idx="289">
                  <c:v>274.74497879018713</c:v>
                </c:pt>
                <c:pt idx="290">
                  <c:v>268.39013511018896</c:v>
                </c:pt>
                <c:pt idx="291">
                  <c:v>253.51327585485873</c:v>
                </c:pt>
                <c:pt idx="292">
                  <c:v>244.80423513085688</c:v>
                </c:pt>
                <c:pt idx="293">
                  <c:v>249.04932323485875</c:v>
                </c:pt>
                <c:pt idx="294">
                  <c:v>257.70342058285877</c:v>
                </c:pt>
                <c:pt idx="295">
                  <c:v>264.51629984285876</c:v>
                </c:pt>
                <c:pt idx="296">
                  <c:v>287.37526099486064</c:v>
                </c:pt>
                <c:pt idx="297">
                  <c:v>304.05147339086062</c:v>
                </c:pt>
                <c:pt idx="298">
                  <c:v>243.45238422999719</c:v>
                </c:pt>
                <c:pt idx="299">
                  <c:v>244.45377604599909</c:v>
                </c:pt>
                <c:pt idx="300">
                  <c:v>231.54739772199534</c:v>
                </c:pt>
                <c:pt idx="301">
                  <c:v>192.43641107399907</c:v>
                </c:pt>
                <c:pt idx="302">
                  <c:v>164.16849898999905</c:v>
                </c:pt>
                <c:pt idx="303">
                  <c:v>195.20431016599906</c:v>
                </c:pt>
                <c:pt idx="304">
                  <c:v>221.26320911799905</c:v>
                </c:pt>
                <c:pt idx="305">
                  <c:v>180.55333993612359</c:v>
                </c:pt>
                <c:pt idx="306">
                  <c:v>180.96091761611987</c:v>
                </c:pt>
                <c:pt idx="307">
                  <c:v>168.0264570641236</c:v>
                </c:pt>
                <c:pt idx="308">
                  <c:v>159.83679114012355</c:v>
                </c:pt>
                <c:pt idx="309">
                  <c:v>156.55629739611985</c:v>
                </c:pt>
                <c:pt idx="310">
                  <c:v>182.76668061212357</c:v>
                </c:pt>
                <c:pt idx="311">
                  <c:v>188.01215362812172</c:v>
                </c:pt>
                <c:pt idx="312">
                  <c:v>173.92783060485559</c:v>
                </c:pt>
                <c:pt idx="313">
                  <c:v>156.26349872885743</c:v>
                </c:pt>
                <c:pt idx="314">
                  <c:v>162.35088714885558</c:v>
                </c:pt>
                <c:pt idx="315">
                  <c:v>167.50081851285557</c:v>
                </c:pt>
                <c:pt idx="316">
                  <c:v>150.47629389685369</c:v>
                </c:pt>
                <c:pt idx="317">
                  <c:v>158.20379072486116</c:v>
                </c:pt>
                <c:pt idx="318">
                  <c:v>143.51007596885557</c:v>
                </c:pt>
                <c:pt idx="319">
                  <c:v>199.65495369631856</c:v>
                </c:pt>
                <c:pt idx="320">
                  <c:v>196.65069835632417</c:v>
                </c:pt>
                <c:pt idx="321">
                  <c:v>192.75560723632046</c:v>
                </c:pt>
                <c:pt idx="322">
                  <c:v>184.53763434032228</c:v>
                </c:pt>
                <c:pt idx="323">
                  <c:v>200.91232633632416</c:v>
                </c:pt>
                <c:pt idx="324">
                  <c:v>230.91631107632045</c:v>
                </c:pt>
                <c:pt idx="325">
                  <c:v>247.08795600432603</c:v>
                </c:pt>
                <c:pt idx="326">
                  <c:v>198.17274472807989</c:v>
                </c:pt>
                <c:pt idx="327">
                  <c:v>181.11172907207802</c:v>
                </c:pt>
                <c:pt idx="328">
                  <c:v>183.71328016008175</c:v>
                </c:pt>
                <c:pt idx="329">
                  <c:v>149.44226425208362</c:v>
                </c:pt>
                <c:pt idx="330">
                  <c:v>134.9404650680836</c:v>
                </c:pt>
                <c:pt idx="331">
                  <c:v>135.31203220407616</c:v>
                </c:pt>
                <c:pt idx="332">
                  <c:v>199.45855122908358</c:v>
                </c:pt>
                <c:pt idx="333">
                  <c:v>158.02199179189697</c:v>
                </c:pt>
                <c:pt idx="334">
                  <c:v>140.25307234489512</c:v>
                </c:pt>
                <c:pt idx="335">
                  <c:v>142.88925054489511</c:v>
                </c:pt>
                <c:pt idx="336">
                  <c:v>143.15347762089323</c:v>
                </c:pt>
                <c:pt idx="337">
                  <c:v>135.60109949689323</c:v>
                </c:pt>
                <c:pt idx="338">
                  <c:v>149.30862135689694</c:v>
                </c:pt>
                <c:pt idx="339">
                  <c:v>157.61868216089508</c:v>
                </c:pt>
                <c:pt idx="340">
                  <c:v>154.78379642813192</c:v>
                </c:pt>
                <c:pt idx="341">
                  <c:v>172.89479393213193</c:v>
                </c:pt>
                <c:pt idx="342">
                  <c:v>172.15956175713379</c:v>
                </c:pt>
                <c:pt idx="343">
                  <c:v>137.88510202413005</c:v>
                </c:pt>
                <c:pt idx="344">
                  <c:v>125.86709891913192</c:v>
                </c:pt>
                <c:pt idx="345">
                  <c:v>153.68796154513379</c:v>
                </c:pt>
                <c:pt idx="346">
                  <c:v>153.25641872713376</c:v>
                </c:pt>
                <c:pt idx="347">
                  <c:v>161.97337265030592</c:v>
                </c:pt>
                <c:pt idx="348">
                  <c:v>154.15687016230777</c:v>
                </c:pt>
                <c:pt idx="349">
                  <c:v>146.52962114230962</c:v>
                </c:pt>
                <c:pt idx="350">
                  <c:v>148.86468384230778</c:v>
                </c:pt>
                <c:pt idx="351">
                  <c:v>134.23938535830595</c:v>
                </c:pt>
                <c:pt idx="352">
                  <c:v>141.02483698630778</c:v>
                </c:pt>
                <c:pt idx="353">
                  <c:v>136.91390033430963</c:v>
                </c:pt>
                <c:pt idx="354">
                  <c:v>138.83898796202365</c:v>
                </c:pt>
                <c:pt idx="355">
                  <c:v>125.25768110602178</c:v>
                </c:pt>
                <c:pt idx="356">
                  <c:v>115.27432162602364</c:v>
                </c:pt>
                <c:pt idx="357">
                  <c:v>102.51996697402549</c:v>
                </c:pt>
                <c:pt idx="358">
                  <c:v>89.845397242023637</c:v>
                </c:pt>
                <c:pt idx="359">
                  <c:v>113.67867576602363</c:v>
                </c:pt>
                <c:pt idx="360">
                  <c:v>108.40071203402363</c:v>
                </c:pt>
                <c:pt idx="361">
                  <c:v>85.485480380966536</c:v>
                </c:pt>
                <c:pt idx="362">
                  <c:v>83.162198856966526</c:v>
                </c:pt>
                <c:pt idx="363">
                  <c:v>81.449369692968389</c:v>
                </c:pt>
                <c:pt idx="364">
                  <c:v>67.543307356966523</c:v>
                </c:pt>
                <c:pt idx="365">
                  <c:v>58.584965992964676</c:v>
                </c:pt>
                <c:pt idx="366">
                  <c:v>68.591305628966523</c:v>
                </c:pt>
                <c:pt idx="367">
                  <c:v>77.948868616968397</c:v>
                </c:pt>
                <c:pt idx="368">
                  <c:v>81.663379388919736</c:v>
                </c:pt>
                <c:pt idx="369">
                  <c:v>71.515156384919734</c:v>
                </c:pt>
                <c:pt idx="370">
                  <c:v>77.416969172919735</c:v>
                </c:pt>
                <c:pt idx="371">
                  <c:v>59.671351156917879</c:v>
                </c:pt>
                <c:pt idx="372">
                  <c:v>45.392203304921601</c:v>
                </c:pt>
                <c:pt idx="373">
                  <c:v>71.85252705291974</c:v>
                </c:pt>
                <c:pt idx="374">
                  <c:v>94.934340192919748</c:v>
                </c:pt>
                <c:pt idx="375">
                  <c:v>57.290058085395692</c:v>
                </c:pt>
                <c:pt idx="376">
                  <c:v>55.354960405397549</c:v>
                </c:pt>
                <c:pt idx="377">
                  <c:v>57.648457809397556</c:v>
                </c:pt>
                <c:pt idx="378">
                  <c:v>35.976587393397551</c:v>
                </c:pt>
                <c:pt idx="379">
                  <c:v>27.093917057395686</c:v>
                </c:pt>
                <c:pt idx="380">
                  <c:v>41.648771953399418</c:v>
                </c:pt>
                <c:pt idx="381">
                  <c:v>66.75141773339756</c:v>
                </c:pt>
                <c:pt idx="382">
                  <c:v>54.810603226402399</c:v>
                </c:pt>
                <c:pt idx="383">
                  <c:v>56.724506154402391</c:v>
                </c:pt>
                <c:pt idx="384">
                  <c:v>50.758680274402401</c:v>
                </c:pt>
                <c:pt idx="385">
                  <c:v>27.241844526407977</c:v>
                </c:pt>
                <c:pt idx="386">
                  <c:v>15.417510526402395</c:v>
                </c:pt>
                <c:pt idx="387">
                  <c:v>33.067196998404263</c:v>
                </c:pt>
                <c:pt idx="388">
                  <c:v>31.891179734404258</c:v>
                </c:pt>
                <c:pt idx="389">
                  <c:v>36.028818452584453</c:v>
                </c:pt>
                <c:pt idx="390">
                  <c:v>34.198682324582592</c:v>
                </c:pt>
                <c:pt idx="391">
                  <c:v>46.57227909658446</c:v>
                </c:pt>
                <c:pt idx="392">
                  <c:v>25.679008728584463</c:v>
                </c:pt>
                <c:pt idx="393">
                  <c:v>21.31743945258259</c:v>
                </c:pt>
                <c:pt idx="394">
                  <c:v>52.807168008584455</c:v>
                </c:pt>
                <c:pt idx="395">
                  <c:v>32.594394492584456</c:v>
                </c:pt>
                <c:pt idx="396">
                  <c:v>33.795347920549148</c:v>
                </c:pt>
                <c:pt idx="397">
                  <c:v>29.662597448547285</c:v>
                </c:pt>
                <c:pt idx="398">
                  <c:v>27.616604840551009</c:v>
                </c:pt>
                <c:pt idx="399">
                  <c:v>13.132768220543548</c:v>
                </c:pt>
                <c:pt idx="400">
                  <c:v>0.74587613655099994</c:v>
                </c:pt>
                <c:pt idx="401">
                  <c:v>0.87838982854913772</c:v>
                </c:pt>
                <c:pt idx="402">
                  <c:v>1.2669650485472739</c:v>
                </c:pt>
                <c:pt idx="403">
                  <c:v>12.98326255205537</c:v>
                </c:pt>
                <c:pt idx="404">
                  <c:v>33.065893648055365</c:v>
                </c:pt>
                <c:pt idx="405">
                  <c:v>27.461339548053513</c:v>
                </c:pt>
                <c:pt idx="406">
                  <c:v>19.045507852053504</c:v>
                </c:pt>
                <c:pt idx="407">
                  <c:v>5.264734244057232</c:v>
                </c:pt>
                <c:pt idx="408">
                  <c:v>14.93768034805351</c:v>
                </c:pt>
                <c:pt idx="409">
                  <c:v>15.42803286805351</c:v>
                </c:pt>
                <c:pt idx="410">
                  <c:v>21.208092095159067</c:v>
                </c:pt>
                <c:pt idx="411">
                  <c:v>18.507020759159058</c:v>
                </c:pt>
                <c:pt idx="412">
                  <c:v>24.003231111160929</c:v>
                </c:pt>
                <c:pt idx="413">
                  <c:v>1.3460224671609249</c:v>
                </c:pt>
                <c:pt idx="414">
                  <c:v>1.3005218071572018</c:v>
                </c:pt>
                <c:pt idx="415">
                  <c:v>8.9830380631609295</c:v>
                </c:pt>
                <c:pt idx="416">
                  <c:v>21.327931907159066</c:v>
                </c:pt>
                <c:pt idx="417">
                  <c:v>19.698397277743307</c:v>
                </c:pt>
                <c:pt idx="418">
                  <c:v>19.402645057741445</c:v>
                </c:pt>
                <c:pt idx="419">
                  <c:v>1.1036778417451643</c:v>
                </c:pt>
                <c:pt idx="420">
                  <c:v>0.99300742174330658</c:v>
                </c:pt>
                <c:pt idx="421">
                  <c:v>0.52868170974330131</c:v>
                </c:pt>
                <c:pt idx="422">
                  <c:v>0.87120617374702847</c:v>
                </c:pt>
                <c:pt idx="423">
                  <c:v>1.9895497937414401</c:v>
                </c:pt>
                <c:pt idx="424">
                  <c:v>13.957132501467727</c:v>
                </c:pt>
                <c:pt idx="425">
                  <c:v>17.234185620462142</c:v>
                </c:pt>
                <c:pt idx="426">
                  <c:v>12.194764484471452</c:v>
                </c:pt>
                <c:pt idx="427">
                  <c:v>1.3938801114658637</c:v>
                </c:pt>
                <c:pt idx="428">
                  <c:v>1.4602158054640022</c:v>
                </c:pt>
                <c:pt idx="429">
                  <c:v>26.535674111465866</c:v>
                </c:pt>
                <c:pt idx="430">
                  <c:v>20.91808489246959</c:v>
                </c:pt>
                <c:pt idx="431">
                  <c:v>13.157603789703018</c:v>
                </c:pt>
                <c:pt idx="432">
                  <c:v>8.2091536297085987</c:v>
                </c:pt>
                <c:pt idx="433">
                  <c:v>14.150909509703022</c:v>
                </c:pt>
                <c:pt idx="434">
                  <c:v>0.62003202171046723</c:v>
                </c:pt>
                <c:pt idx="435">
                  <c:v>0.58029145370487822</c:v>
                </c:pt>
                <c:pt idx="436">
                  <c:v>7.944978201703023</c:v>
                </c:pt>
                <c:pt idx="437">
                  <c:v>9.3381222057085971</c:v>
                </c:pt>
                <c:pt idx="438">
                  <c:v>11.9204894591607</c:v>
                </c:pt>
                <c:pt idx="439">
                  <c:v>4.2943351511588403</c:v>
                </c:pt>
                <c:pt idx="440">
                  <c:v>1.2630359191607059</c:v>
                </c:pt>
                <c:pt idx="441">
                  <c:v>0.5145405361607045</c:v>
                </c:pt>
                <c:pt idx="442">
                  <c:v>1.0636899021625723</c:v>
                </c:pt>
                <c:pt idx="443">
                  <c:v>2.2906401991607126</c:v>
                </c:pt>
                <c:pt idx="444">
                  <c:v>0.55340952715698222</c:v>
                </c:pt>
                <c:pt idx="445">
                  <c:v>8.1066654437322221</c:v>
                </c:pt>
                <c:pt idx="446">
                  <c:v>8.834458943735946</c:v>
                </c:pt>
                <c:pt idx="447">
                  <c:v>10.591494696732218</c:v>
                </c:pt>
                <c:pt idx="448">
                  <c:v>18.622823034732217</c:v>
                </c:pt>
                <c:pt idx="449">
                  <c:v>13.983708154734085</c:v>
                </c:pt>
                <c:pt idx="450">
                  <c:v>9.0344177397322198</c:v>
                </c:pt>
                <c:pt idx="451">
                  <c:v>9.2639256127322156</c:v>
                </c:pt>
                <c:pt idx="452">
                  <c:v>28.058542062076945</c:v>
                </c:pt>
                <c:pt idx="453">
                  <c:v>2.2423037120769442</c:v>
                </c:pt>
                <c:pt idx="454">
                  <c:v>2.3390195480750844</c:v>
                </c:pt>
                <c:pt idx="455">
                  <c:v>4.3992242260732164</c:v>
                </c:pt>
                <c:pt idx="456">
                  <c:v>6.5272750440769451</c:v>
                </c:pt>
                <c:pt idx="457">
                  <c:v>1.2817477090750835</c:v>
                </c:pt>
                <c:pt idx="458">
                  <c:v>1.6173166890750799</c:v>
                </c:pt>
                <c:pt idx="459">
                  <c:v>2.1154391071034699</c:v>
                </c:pt>
                <c:pt idx="460">
                  <c:v>19.321785347101613</c:v>
                </c:pt>
                <c:pt idx="461">
                  <c:v>24.546131320103473</c:v>
                </c:pt>
                <c:pt idx="462">
                  <c:v>7.2915253381034706</c:v>
                </c:pt>
                <c:pt idx="463">
                  <c:v>14.543756771103471</c:v>
                </c:pt>
                <c:pt idx="464">
                  <c:v>35.211344651101605</c:v>
                </c:pt>
                <c:pt idx="465">
                  <c:v>31.689608963101609</c:v>
                </c:pt>
                <c:pt idx="466">
                  <c:v>13.092552855678653</c:v>
                </c:pt>
                <c:pt idx="467">
                  <c:v>15.365002231673069</c:v>
                </c:pt>
                <c:pt idx="468">
                  <c:v>34.737672312676793</c:v>
                </c:pt>
                <c:pt idx="469">
                  <c:v>21.468902958676793</c:v>
                </c:pt>
                <c:pt idx="470">
                  <c:v>13.576204775674931</c:v>
                </c:pt>
                <c:pt idx="471">
                  <c:v>18.451686891676793</c:v>
                </c:pt>
                <c:pt idx="472">
                  <c:v>19.344326808674932</c:v>
                </c:pt>
                <c:pt idx="473">
                  <c:v>14.745610182199655</c:v>
                </c:pt>
                <c:pt idx="474">
                  <c:v>10.083807815199659</c:v>
                </c:pt>
                <c:pt idx="475">
                  <c:v>6.9708534591977953</c:v>
                </c:pt>
                <c:pt idx="476">
                  <c:v>7.4601010751977954</c:v>
                </c:pt>
                <c:pt idx="477">
                  <c:v>0.88863244720152212</c:v>
                </c:pt>
                <c:pt idx="478">
                  <c:v>0.95296703919779979</c:v>
                </c:pt>
                <c:pt idx="479">
                  <c:v>1.107356255201521</c:v>
                </c:pt>
                <c:pt idx="480">
                  <c:v>12.261610709065398</c:v>
                </c:pt>
                <c:pt idx="481">
                  <c:v>30.101534229065393</c:v>
                </c:pt>
                <c:pt idx="482">
                  <c:v>37.891293065067266</c:v>
                </c:pt>
                <c:pt idx="483">
                  <c:v>26.846282717067261</c:v>
                </c:pt>
                <c:pt idx="484">
                  <c:v>6.0124908290653982</c:v>
                </c:pt>
                <c:pt idx="485">
                  <c:v>18.017315821067257</c:v>
                </c:pt>
                <c:pt idx="486">
                  <c:v>31.070505041067257</c:v>
                </c:pt>
                <c:pt idx="487">
                  <c:v>27.746204055655411</c:v>
                </c:pt>
                <c:pt idx="488">
                  <c:v>20.303725238655417</c:v>
                </c:pt>
                <c:pt idx="489">
                  <c:v>20.529555674659132</c:v>
                </c:pt>
                <c:pt idx="490">
                  <c:v>14.251119198657275</c:v>
                </c:pt>
                <c:pt idx="491">
                  <c:v>0.9801497546572755</c:v>
                </c:pt>
                <c:pt idx="492">
                  <c:v>27.898072389659138</c:v>
                </c:pt>
                <c:pt idx="493">
                  <c:v>33.149552794655406</c:v>
                </c:pt>
                <c:pt idx="494">
                  <c:v>35.469150293980334</c:v>
                </c:pt>
                <c:pt idx="495">
                  <c:v>8.9310006469803263</c:v>
                </c:pt>
                <c:pt idx="496">
                  <c:v>6.7232391649821874</c:v>
                </c:pt>
                <c:pt idx="497">
                  <c:v>0.8445232579803269</c:v>
                </c:pt>
                <c:pt idx="498">
                  <c:v>0.94240763797846738</c:v>
                </c:pt>
                <c:pt idx="499">
                  <c:v>20.542116733982184</c:v>
                </c:pt>
                <c:pt idx="500">
                  <c:v>24.89823804697847</c:v>
                </c:pt>
                <c:pt idx="501">
                  <c:v>21.393126561020022</c:v>
                </c:pt>
                <c:pt idx="502">
                  <c:v>14.410976650018158</c:v>
                </c:pt>
                <c:pt idx="503">
                  <c:v>10.265706714020023</c:v>
                </c:pt>
                <c:pt idx="504">
                  <c:v>12.446014266016297</c:v>
                </c:pt>
                <c:pt idx="505">
                  <c:v>1.1078882780200183</c:v>
                </c:pt>
                <c:pt idx="506">
                  <c:v>0.65396796601815732</c:v>
                </c:pt>
                <c:pt idx="507">
                  <c:v>1.5265814540200227</c:v>
                </c:pt>
                <c:pt idx="508">
                  <c:v>5.4675888744298424</c:v>
                </c:pt>
                <c:pt idx="509">
                  <c:v>1.0800620864317025</c:v>
                </c:pt>
                <c:pt idx="510">
                  <c:v>37.674494370431702</c:v>
                </c:pt>
                <c:pt idx="511">
                  <c:v>35.987860658427977</c:v>
                </c:pt>
                <c:pt idx="512">
                  <c:v>9.4288872184317007</c:v>
                </c:pt>
                <c:pt idx="513">
                  <c:v>32.528654106431709</c:v>
                </c:pt>
                <c:pt idx="514">
                  <c:v>34.8785735104317</c:v>
                </c:pt>
                <c:pt idx="515">
                  <c:v>45.977988408789201</c:v>
                </c:pt>
                <c:pt idx="516">
                  <c:v>37.268005940792925</c:v>
                </c:pt>
                <c:pt idx="517">
                  <c:v>21.037160460791064</c:v>
                </c:pt>
                <c:pt idx="518">
                  <c:v>18.258551112792919</c:v>
                </c:pt>
                <c:pt idx="519">
                  <c:v>9.4054813527910586</c:v>
                </c:pt>
                <c:pt idx="520">
                  <c:v>38.726539824791061</c:v>
                </c:pt>
                <c:pt idx="521">
                  <c:v>26.215021088791058</c:v>
                </c:pt>
                <c:pt idx="522">
                  <c:v>32.276479210904796</c:v>
                </c:pt>
                <c:pt idx="523">
                  <c:v>42.908423434906659</c:v>
                </c:pt>
                <c:pt idx="524">
                  <c:v>71.095897382904809</c:v>
                </c:pt>
                <c:pt idx="525">
                  <c:v>47.45829990290666</c:v>
                </c:pt>
                <c:pt idx="526">
                  <c:v>55.128240406906663</c:v>
                </c:pt>
                <c:pt idx="527">
                  <c:v>84.207346098904807</c:v>
                </c:pt>
                <c:pt idx="528">
                  <c:v>63.072944074906665</c:v>
                </c:pt>
                <c:pt idx="529">
                  <c:v>99.469765719958872</c:v>
                </c:pt>
                <c:pt idx="530">
                  <c:v>109.47637719995888</c:v>
                </c:pt>
                <c:pt idx="531">
                  <c:v>108.85852181195887</c:v>
                </c:pt>
                <c:pt idx="532">
                  <c:v>117.35213305995887</c:v>
                </c:pt>
                <c:pt idx="533">
                  <c:v>119.62128931595889</c:v>
                </c:pt>
                <c:pt idx="534">
                  <c:v>139.89352868395886</c:v>
                </c:pt>
                <c:pt idx="535">
                  <c:v>138.29056451996072</c:v>
                </c:pt>
                <c:pt idx="536">
                  <c:v>120.09712795010759</c:v>
                </c:pt>
                <c:pt idx="537">
                  <c:v>108.98283646210758</c:v>
                </c:pt>
                <c:pt idx="538">
                  <c:v>105.42105569810759</c:v>
                </c:pt>
                <c:pt idx="539">
                  <c:v>95.949400002107595</c:v>
                </c:pt>
                <c:pt idx="540">
                  <c:v>80.399772578107587</c:v>
                </c:pt>
                <c:pt idx="541">
                  <c:v>76.287765526107606</c:v>
                </c:pt>
                <c:pt idx="542">
                  <c:v>84.538143318109448</c:v>
                </c:pt>
                <c:pt idx="543">
                  <c:v>90.684440992273366</c:v>
                </c:pt>
                <c:pt idx="544">
                  <c:v>109.85750236427336</c:v>
                </c:pt>
                <c:pt idx="545">
                  <c:v>121.55350244827522</c:v>
                </c:pt>
                <c:pt idx="546">
                  <c:v>89.540681420273344</c:v>
                </c:pt>
                <c:pt idx="547">
                  <c:v>70.624009588275214</c:v>
                </c:pt>
                <c:pt idx="548">
                  <c:v>97.901718364271488</c:v>
                </c:pt>
                <c:pt idx="549">
                  <c:v>114.38635698427709</c:v>
                </c:pt>
                <c:pt idx="550">
                  <c:v>115.95279221025977</c:v>
                </c:pt>
                <c:pt idx="551">
                  <c:v>107.90464700226349</c:v>
                </c:pt>
                <c:pt idx="552">
                  <c:v>98.86733135026536</c:v>
                </c:pt>
                <c:pt idx="553">
                  <c:v>71.855994462259773</c:v>
                </c:pt>
                <c:pt idx="554">
                  <c:v>77.368225970263495</c:v>
                </c:pt>
                <c:pt idx="555">
                  <c:v>90.036722586261632</c:v>
                </c:pt>
                <c:pt idx="556">
                  <c:v>111.54039784226164</c:v>
                </c:pt>
                <c:pt idx="557">
                  <c:v>126.44105665010481</c:v>
                </c:pt>
                <c:pt idx="558">
                  <c:v>124.33317142610109</c:v>
                </c:pt>
                <c:pt idx="559">
                  <c:v>124.99246693809924</c:v>
                </c:pt>
                <c:pt idx="560">
                  <c:v>89.294658898104828</c:v>
                </c:pt>
                <c:pt idx="561">
                  <c:v>85.4385258381011</c:v>
                </c:pt>
                <c:pt idx="562">
                  <c:v>117.54742772610297</c:v>
                </c:pt>
                <c:pt idx="563">
                  <c:v>107.58268014810297</c:v>
                </c:pt>
                <c:pt idx="564">
                  <c:v>122.26003219056237</c:v>
                </c:pt>
                <c:pt idx="565">
                  <c:v>104.72153659255865</c:v>
                </c:pt>
                <c:pt idx="566">
                  <c:v>134.40995439756236</c:v>
                </c:pt>
                <c:pt idx="567">
                  <c:v>109.30248564656051</c:v>
                </c:pt>
                <c:pt idx="568">
                  <c:v>82.508078432562371</c:v>
                </c:pt>
                <c:pt idx="569">
                  <c:v>109.51970932956237</c:v>
                </c:pt>
                <c:pt idx="570">
                  <c:v>117.24106373756237</c:v>
                </c:pt>
                <c:pt idx="571">
                  <c:v>70.514531098416867</c:v>
                </c:pt>
                <c:pt idx="572">
                  <c:v>88.324514350420586</c:v>
                </c:pt>
                <c:pt idx="573">
                  <c:v>127.02526741842058</c:v>
                </c:pt>
                <c:pt idx="574">
                  <c:v>111.84318675841872</c:v>
                </c:pt>
                <c:pt idx="575">
                  <c:v>96.971489306418718</c:v>
                </c:pt>
                <c:pt idx="576">
                  <c:v>124.84708129042058</c:v>
                </c:pt>
                <c:pt idx="577">
                  <c:v>119.42508281842059</c:v>
                </c:pt>
                <c:pt idx="578">
                  <c:v>79.836942209111058</c:v>
                </c:pt>
                <c:pt idx="579">
                  <c:v>49.870291197114781</c:v>
                </c:pt>
                <c:pt idx="580">
                  <c:v>80.033253186111068</c:v>
                </c:pt>
                <c:pt idx="581">
                  <c:v>75.034860076112921</c:v>
                </c:pt>
                <c:pt idx="582">
                  <c:v>32.101209589112919</c:v>
                </c:pt>
                <c:pt idx="583">
                  <c:v>60.380907146111056</c:v>
                </c:pt>
                <c:pt idx="584">
                  <c:v>41.585444585112917</c:v>
                </c:pt>
                <c:pt idx="585">
                  <c:v>102.27748833755247</c:v>
                </c:pt>
                <c:pt idx="586">
                  <c:v>93.32257986254875</c:v>
                </c:pt>
                <c:pt idx="587">
                  <c:v>51.194949078552469</c:v>
                </c:pt>
                <c:pt idx="588">
                  <c:v>62.69774962254688</c:v>
                </c:pt>
                <c:pt idx="589">
                  <c:v>70.225215734552478</c:v>
                </c:pt>
                <c:pt idx="590">
                  <c:v>88.13688702655061</c:v>
                </c:pt>
                <c:pt idx="591">
                  <c:v>112.95177166655061</c:v>
                </c:pt>
                <c:pt idx="592">
                  <c:v>126.12410806662145</c:v>
                </c:pt>
                <c:pt idx="593">
                  <c:v>97.014344129623311</c:v>
                </c:pt>
                <c:pt idx="594">
                  <c:v>116.28581086862145</c:v>
                </c:pt>
                <c:pt idx="595">
                  <c:v>114.88151747762332</c:v>
                </c:pt>
                <c:pt idx="596">
                  <c:v>99.930858625623316</c:v>
                </c:pt>
                <c:pt idx="597">
                  <c:v>115.47489228162145</c:v>
                </c:pt>
                <c:pt idx="598">
                  <c:v>112.43340331362332</c:v>
                </c:pt>
                <c:pt idx="599">
                  <c:v>154.98277861356513</c:v>
                </c:pt>
                <c:pt idx="600">
                  <c:v>139.20819501356701</c:v>
                </c:pt>
                <c:pt idx="601">
                  <c:v>144.47434795756516</c:v>
                </c:pt>
                <c:pt idx="602">
                  <c:v>132.12615336156514</c:v>
                </c:pt>
                <c:pt idx="603">
                  <c:v>112.54498642556703</c:v>
                </c:pt>
                <c:pt idx="604">
                  <c:v>142.68211148156516</c:v>
                </c:pt>
                <c:pt idx="605">
                  <c:v>156.63951282956702</c:v>
                </c:pt>
                <c:pt idx="606">
                  <c:v>388.63791610607797</c:v>
                </c:pt>
                <c:pt idx="607">
                  <c:v>383.58711033807424</c:v>
                </c:pt>
                <c:pt idx="608">
                  <c:v>386.74552716207796</c:v>
                </c:pt>
                <c:pt idx="609">
                  <c:v>398.55839159107796</c:v>
                </c:pt>
                <c:pt idx="610">
                  <c:v>404.86547333707608</c:v>
                </c:pt>
                <c:pt idx="611">
                  <c:v>415.58760048207608</c:v>
                </c:pt>
                <c:pt idx="612">
                  <c:v>439.19877941807795</c:v>
                </c:pt>
                <c:pt idx="613">
                  <c:v>478.12247028103729</c:v>
                </c:pt>
                <c:pt idx="614">
                  <c:v>483.39475027304098</c:v>
                </c:pt>
                <c:pt idx="615">
                  <c:v>483.87470685103915</c:v>
                </c:pt>
                <c:pt idx="616">
                  <c:v>493.55933911303913</c:v>
                </c:pt>
                <c:pt idx="617">
                  <c:v>487.75418263304101</c:v>
                </c:pt>
                <c:pt idx="618">
                  <c:v>483.83391857304099</c:v>
                </c:pt>
                <c:pt idx="619">
                  <c:v>461.58199978903912</c:v>
                </c:pt>
                <c:pt idx="620">
                  <c:v>334.56652755386722</c:v>
                </c:pt>
                <c:pt idx="621">
                  <c:v>329.09526858186723</c:v>
                </c:pt>
                <c:pt idx="622">
                  <c:v>331.14615158186723</c:v>
                </c:pt>
                <c:pt idx="623">
                  <c:v>316.04521436186911</c:v>
                </c:pt>
                <c:pt idx="624">
                  <c:v>302.0108892018672</c:v>
                </c:pt>
                <c:pt idx="625">
                  <c:v>310.09547972586722</c:v>
                </c:pt>
                <c:pt idx="626">
                  <c:v>347.49914172986536</c:v>
                </c:pt>
                <c:pt idx="627">
                  <c:v>213.55671802123098</c:v>
                </c:pt>
                <c:pt idx="628">
                  <c:v>202.2783359012254</c:v>
                </c:pt>
                <c:pt idx="629">
                  <c:v>223.62440670523097</c:v>
                </c:pt>
                <c:pt idx="630">
                  <c:v>226.71188082922725</c:v>
                </c:pt>
                <c:pt idx="631">
                  <c:v>211.06745927322913</c:v>
                </c:pt>
                <c:pt idx="632">
                  <c:v>226.81836729723099</c:v>
                </c:pt>
                <c:pt idx="633">
                  <c:v>231.51146561722538</c:v>
                </c:pt>
                <c:pt idx="634">
                  <c:v>175.27242705891157</c:v>
                </c:pt>
                <c:pt idx="635">
                  <c:v>159.85450787991158</c:v>
                </c:pt>
                <c:pt idx="636">
                  <c:v>156.97409322990973</c:v>
                </c:pt>
                <c:pt idx="637">
                  <c:v>139.63063275090786</c:v>
                </c:pt>
                <c:pt idx="638">
                  <c:v>145.04988385490972</c:v>
                </c:pt>
                <c:pt idx="639">
                  <c:v>135.6930848069116</c:v>
                </c:pt>
                <c:pt idx="640">
                  <c:v>188.0857849639097</c:v>
                </c:pt>
                <c:pt idx="641">
                  <c:v>179.33539994043255</c:v>
                </c:pt>
                <c:pt idx="642">
                  <c:v>182.62127593343439</c:v>
                </c:pt>
                <c:pt idx="643">
                  <c:v>166.47430448143066</c:v>
                </c:pt>
                <c:pt idx="644">
                  <c:v>161.51808291343625</c:v>
                </c:pt>
                <c:pt idx="645">
                  <c:v>157.48765902243065</c:v>
                </c:pt>
                <c:pt idx="646">
                  <c:v>175.84599191343437</c:v>
                </c:pt>
                <c:pt idx="647">
                  <c:v>170.88447220543441</c:v>
                </c:pt>
                <c:pt idx="648">
                  <c:v>185.12149557487723</c:v>
                </c:pt>
                <c:pt idx="649">
                  <c:v>172.51988901688094</c:v>
                </c:pt>
                <c:pt idx="650">
                  <c:v>146.43581160087723</c:v>
                </c:pt>
                <c:pt idx="651">
                  <c:v>114.44261998187723</c:v>
                </c:pt>
                <c:pt idx="652">
                  <c:v>100.62032380187722</c:v>
                </c:pt>
                <c:pt idx="653">
                  <c:v>137.06542471387908</c:v>
                </c:pt>
                <c:pt idx="654">
                  <c:v>151.85324682987908</c:v>
                </c:pt>
                <c:pt idx="655">
                  <c:v>140.58984365155317</c:v>
                </c:pt>
                <c:pt idx="656">
                  <c:v>119.39261836855691</c:v>
                </c:pt>
                <c:pt idx="657">
                  <c:v>157.99740078655691</c:v>
                </c:pt>
                <c:pt idx="658">
                  <c:v>155.40672913955504</c:v>
                </c:pt>
                <c:pt idx="659">
                  <c:v>122.88213651255319</c:v>
                </c:pt>
                <c:pt idx="660">
                  <c:v>118.93367184655506</c:v>
                </c:pt>
                <c:pt idx="661">
                  <c:v>132.99573611155503</c:v>
                </c:pt>
                <c:pt idx="662">
                  <c:v>106.76487909682987</c:v>
                </c:pt>
                <c:pt idx="663">
                  <c:v>71.280996678833603</c:v>
                </c:pt>
                <c:pt idx="664">
                  <c:v>69.412602800831735</c:v>
                </c:pt>
                <c:pt idx="665">
                  <c:v>48.286059842829879</c:v>
                </c:pt>
                <c:pt idx="666">
                  <c:v>48.756009019831737</c:v>
                </c:pt>
                <c:pt idx="667">
                  <c:v>69.654697420828015</c:v>
                </c:pt>
                <c:pt idx="668">
                  <c:v>60.100409236831737</c:v>
                </c:pt>
                <c:pt idx="669">
                  <c:v>90.954410886125189</c:v>
                </c:pt>
                <c:pt idx="670">
                  <c:v>82.548418672123347</c:v>
                </c:pt>
                <c:pt idx="671">
                  <c:v>92.920710942121474</c:v>
                </c:pt>
                <c:pt idx="672">
                  <c:v>94.420891944121465</c:v>
                </c:pt>
                <c:pt idx="673">
                  <c:v>95.678114066123342</c:v>
                </c:pt>
                <c:pt idx="674">
                  <c:v>90.481906112125188</c:v>
                </c:pt>
                <c:pt idx="675">
                  <c:v>120.59630407412146</c:v>
                </c:pt>
                <c:pt idx="676">
                  <c:v>127.43163898759407</c:v>
                </c:pt>
                <c:pt idx="677">
                  <c:v>119.47021666159593</c:v>
                </c:pt>
                <c:pt idx="678">
                  <c:v>103.56574747959593</c:v>
                </c:pt>
                <c:pt idx="679">
                  <c:v>78.185238966594071</c:v>
                </c:pt>
                <c:pt idx="680">
                  <c:v>57.454799726597798</c:v>
                </c:pt>
                <c:pt idx="681">
                  <c:v>67.208198955594071</c:v>
                </c:pt>
                <c:pt idx="682">
                  <c:v>88.387972225595931</c:v>
                </c:pt>
                <c:pt idx="683">
                  <c:v>87.844399155429457</c:v>
                </c:pt>
                <c:pt idx="684">
                  <c:v>93.660145318433194</c:v>
                </c:pt>
                <c:pt idx="685">
                  <c:v>103.88382140443319</c:v>
                </c:pt>
                <c:pt idx="686">
                  <c:v>66.35781407942946</c:v>
                </c:pt>
                <c:pt idx="687">
                  <c:v>46.572328499433191</c:v>
                </c:pt>
                <c:pt idx="688">
                  <c:v>75.848485748433191</c:v>
                </c:pt>
                <c:pt idx="689">
                  <c:v>68.827133293431331</c:v>
                </c:pt>
                <c:pt idx="690">
                  <c:v>78.444099388637326</c:v>
                </c:pt>
                <c:pt idx="691">
                  <c:v>78.403106478637326</c:v>
                </c:pt>
                <c:pt idx="692">
                  <c:v>93.719806265639193</c:v>
                </c:pt>
                <c:pt idx="693">
                  <c:v>74.781610486635472</c:v>
                </c:pt>
                <c:pt idx="694">
                  <c:v>54.946524059639195</c:v>
                </c:pt>
                <c:pt idx="695">
                  <c:v>65.856687558637333</c:v>
                </c:pt>
                <c:pt idx="696">
                  <c:v>70.928353295639198</c:v>
                </c:pt>
                <c:pt idx="697">
                  <c:v>106.53722492599499</c:v>
                </c:pt>
                <c:pt idx="698">
                  <c:v>108.04056139800245</c:v>
                </c:pt>
                <c:pt idx="699">
                  <c:v>86.989402905994993</c:v>
                </c:pt>
                <c:pt idx="700">
                  <c:v>74.728085611996846</c:v>
                </c:pt>
                <c:pt idx="701">
                  <c:v>80.241866380000587</c:v>
                </c:pt>
                <c:pt idx="702">
                  <c:v>125.220437346995</c:v>
                </c:pt>
                <c:pt idx="703">
                  <c:v>112.96538224199873</c:v>
                </c:pt>
                <c:pt idx="704">
                  <c:v>107.49255053310618</c:v>
                </c:pt>
                <c:pt idx="705">
                  <c:v>120.54221656210433</c:v>
                </c:pt>
                <c:pt idx="706">
                  <c:v>106.39197663910433</c:v>
                </c:pt>
                <c:pt idx="707">
                  <c:v>68.77696112110246</c:v>
                </c:pt>
                <c:pt idx="708">
                  <c:v>60.648677384104317</c:v>
                </c:pt>
                <c:pt idx="709">
                  <c:v>92.308440412106179</c:v>
                </c:pt>
                <c:pt idx="710">
                  <c:v>109.53282341110246</c:v>
                </c:pt>
                <c:pt idx="711">
                  <c:v>93.467609295974626</c:v>
                </c:pt>
                <c:pt idx="712">
                  <c:v>89.567963126978356</c:v>
                </c:pt>
                <c:pt idx="713">
                  <c:v>84.343720663974622</c:v>
                </c:pt>
                <c:pt idx="714">
                  <c:v>92.415462039976504</c:v>
                </c:pt>
                <c:pt idx="715">
                  <c:v>92.76668698797836</c:v>
                </c:pt>
                <c:pt idx="716">
                  <c:v>107.85507385397651</c:v>
                </c:pt>
                <c:pt idx="717">
                  <c:v>100.10663924597463</c:v>
                </c:pt>
                <c:pt idx="718">
                  <c:v>94.574809138787984</c:v>
                </c:pt>
                <c:pt idx="719">
                  <c:v>88.454457855787993</c:v>
                </c:pt>
                <c:pt idx="720">
                  <c:v>91.71057150578612</c:v>
                </c:pt>
                <c:pt idx="721">
                  <c:v>73.604161994787987</c:v>
                </c:pt>
                <c:pt idx="722">
                  <c:v>56.305882014786128</c:v>
                </c:pt>
                <c:pt idx="723">
                  <c:v>70.335712183787976</c:v>
                </c:pt>
                <c:pt idx="724">
                  <c:v>88.420787201786126</c:v>
                </c:pt>
                <c:pt idx="725">
                  <c:v>61.802897712191637</c:v>
                </c:pt>
                <c:pt idx="726">
                  <c:v>60.744908920193495</c:v>
                </c:pt>
                <c:pt idx="727">
                  <c:v>74.396140904189778</c:v>
                </c:pt>
                <c:pt idx="728">
                  <c:v>52.28320616819164</c:v>
                </c:pt>
                <c:pt idx="729">
                  <c:v>27.053107012193504</c:v>
                </c:pt>
                <c:pt idx="730">
                  <c:v>47.068135448191633</c:v>
                </c:pt>
                <c:pt idx="731">
                  <c:v>42.573148472195363</c:v>
                </c:pt>
                <c:pt idx="732">
                  <c:v>50.379102327468779</c:v>
                </c:pt>
                <c:pt idx="733">
                  <c:v>43.434186287470645</c:v>
                </c:pt>
                <c:pt idx="734">
                  <c:v>47.216500133468784</c:v>
                </c:pt>
                <c:pt idx="735">
                  <c:v>47.459840479468781</c:v>
                </c:pt>
                <c:pt idx="736">
                  <c:v>33.044922431470646</c:v>
                </c:pt>
                <c:pt idx="737">
                  <c:v>44.453724247468784</c:v>
                </c:pt>
                <c:pt idx="738">
                  <c:v>34.078163039472507</c:v>
                </c:pt>
                <c:pt idx="739">
                  <c:v>30.747152508585394</c:v>
                </c:pt>
                <c:pt idx="740">
                  <c:v>30.556959344583536</c:v>
                </c:pt>
                <c:pt idx="741">
                  <c:v>30.195372312585395</c:v>
                </c:pt>
                <c:pt idx="742">
                  <c:v>34.563535425583531</c:v>
                </c:pt>
                <c:pt idx="743">
                  <c:v>35.77137464758539</c:v>
                </c:pt>
                <c:pt idx="744">
                  <c:v>61.105004408583525</c:v>
                </c:pt>
                <c:pt idx="745">
                  <c:v>68.351302360587255</c:v>
                </c:pt>
                <c:pt idx="746">
                  <c:v>40.407698469990194</c:v>
                </c:pt>
                <c:pt idx="747">
                  <c:v>30.290892797992054</c:v>
                </c:pt>
                <c:pt idx="748">
                  <c:v>35.566409522995777</c:v>
                </c:pt>
                <c:pt idx="749">
                  <c:v>12.367928405992053</c:v>
                </c:pt>
                <c:pt idx="750">
                  <c:v>6.4833669819920541</c:v>
                </c:pt>
                <c:pt idx="751">
                  <c:v>37.619524392993917</c:v>
                </c:pt>
                <c:pt idx="752">
                  <c:v>53.082636909993916</c:v>
                </c:pt>
                <c:pt idx="753">
                  <c:v>29.837647560541054</c:v>
                </c:pt>
                <c:pt idx="754">
                  <c:v>17.098436928539186</c:v>
                </c:pt>
                <c:pt idx="755">
                  <c:v>11.56675413354105</c:v>
                </c:pt>
                <c:pt idx="756">
                  <c:v>8.9710408995429169</c:v>
                </c:pt>
                <c:pt idx="757">
                  <c:v>3.9053097725391925</c:v>
                </c:pt>
                <c:pt idx="758">
                  <c:v>4.3066469645391914</c:v>
                </c:pt>
                <c:pt idx="759">
                  <c:v>20.873341964539183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5-4141-A914-5A20A00A4C60}"/>
            </c:ext>
          </c:extLst>
        </c:ser>
        <c:ser>
          <c:idx val="0"/>
          <c:order val="1"/>
          <c:tx>
            <c:strRef>
              <c:f>Dat_07!$D$50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cat>
            <c:multiLvlStrRef>
              <c:f>Dat_07!$G$52:$H$812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 </c:v>
                  </c:pt>
                  <c:pt idx="214">
                    <c:v>2025 </c:v>
                  </c:pt>
                  <c:pt idx="579">
                    <c:v>2026 </c:v>
                  </c:pt>
                </c:lvl>
              </c:multiLvlStrCache>
            </c:multiLvlStrRef>
          </c:cat>
          <c:val>
            <c:numRef>
              <c:f>Dat_07!$D$52:$D$811</c:f>
              <c:numCache>
                <c:formatCode>#,##0</c:formatCode>
                <c:ptCount val="760"/>
                <c:pt idx="0">
                  <c:v>62.145020957620687</c:v>
                </c:pt>
                <c:pt idx="1">
                  <c:v>62.145020957620687</c:v>
                </c:pt>
                <c:pt idx="2">
                  <c:v>62.145020957620687</c:v>
                </c:pt>
                <c:pt idx="3">
                  <c:v>62.145020957620687</c:v>
                </c:pt>
                <c:pt idx="4">
                  <c:v>62.145020957620687</c:v>
                </c:pt>
                <c:pt idx="5">
                  <c:v>62.145020957620687</c:v>
                </c:pt>
                <c:pt idx="6">
                  <c:v>62.145020957620687</c:v>
                </c:pt>
                <c:pt idx="7">
                  <c:v>62.145020957620687</c:v>
                </c:pt>
                <c:pt idx="8">
                  <c:v>62.145020957620687</c:v>
                </c:pt>
                <c:pt idx="9">
                  <c:v>62.145020957620687</c:v>
                </c:pt>
                <c:pt idx="10">
                  <c:v>62.145020957620687</c:v>
                </c:pt>
                <c:pt idx="11">
                  <c:v>62.145020957620687</c:v>
                </c:pt>
                <c:pt idx="12">
                  <c:v>62.145020957620687</c:v>
                </c:pt>
                <c:pt idx="13">
                  <c:v>62.145020957620687</c:v>
                </c:pt>
                <c:pt idx="14">
                  <c:v>62.145020957620687</c:v>
                </c:pt>
                <c:pt idx="15">
                  <c:v>62.145020957620687</c:v>
                </c:pt>
                <c:pt idx="16">
                  <c:v>62.145020957620687</c:v>
                </c:pt>
                <c:pt idx="17">
                  <c:v>62.145020957620687</c:v>
                </c:pt>
                <c:pt idx="18">
                  <c:v>62.145020957620687</c:v>
                </c:pt>
                <c:pt idx="19">
                  <c:v>62.145020957620687</c:v>
                </c:pt>
                <c:pt idx="20">
                  <c:v>62.145020957620687</c:v>
                </c:pt>
                <c:pt idx="21">
                  <c:v>62.145020957620687</c:v>
                </c:pt>
                <c:pt idx="22">
                  <c:v>62.145020957620687</c:v>
                </c:pt>
                <c:pt idx="23">
                  <c:v>62.145020957620687</c:v>
                </c:pt>
                <c:pt idx="24">
                  <c:v>62.145020957620687</c:v>
                </c:pt>
                <c:pt idx="25">
                  <c:v>62.145020957620687</c:v>
                </c:pt>
                <c:pt idx="26">
                  <c:v>62.145020957620687</c:v>
                </c:pt>
                <c:pt idx="27">
                  <c:v>62.145020957620687</c:v>
                </c:pt>
                <c:pt idx="28">
                  <c:v>62.145020957620687</c:v>
                </c:pt>
                <c:pt idx="29">
                  <c:v>62.145020957620687</c:v>
                </c:pt>
                <c:pt idx="30">
                  <c:v>25.910326049029329</c:v>
                </c:pt>
                <c:pt idx="31">
                  <c:v>25.910326049029329</c:v>
                </c:pt>
                <c:pt idx="32">
                  <c:v>25.910326049029329</c:v>
                </c:pt>
                <c:pt idx="33">
                  <c:v>25.910326049029329</c:v>
                </c:pt>
                <c:pt idx="34">
                  <c:v>25.910326049029329</c:v>
                </c:pt>
                <c:pt idx="35">
                  <c:v>25.910326049029329</c:v>
                </c:pt>
                <c:pt idx="36">
                  <c:v>25.910326049029329</c:v>
                </c:pt>
                <c:pt idx="37">
                  <c:v>25.910326049029329</c:v>
                </c:pt>
                <c:pt idx="38">
                  <c:v>25.910326049029329</c:v>
                </c:pt>
                <c:pt idx="39">
                  <c:v>25.910326049029329</c:v>
                </c:pt>
                <c:pt idx="40">
                  <c:v>25.910326049029329</c:v>
                </c:pt>
                <c:pt idx="41">
                  <c:v>25.910326049029329</c:v>
                </c:pt>
                <c:pt idx="42">
                  <c:v>25.910326049029329</c:v>
                </c:pt>
                <c:pt idx="43">
                  <c:v>25.910326049029329</c:v>
                </c:pt>
                <c:pt idx="44">
                  <c:v>25.910326049029329</c:v>
                </c:pt>
                <c:pt idx="45">
                  <c:v>25.910326049029329</c:v>
                </c:pt>
                <c:pt idx="46">
                  <c:v>25.910326049029329</c:v>
                </c:pt>
                <c:pt idx="47">
                  <c:v>25.910326049029329</c:v>
                </c:pt>
                <c:pt idx="48">
                  <c:v>25.910326049029329</c:v>
                </c:pt>
                <c:pt idx="49">
                  <c:v>25.910326049029329</c:v>
                </c:pt>
                <c:pt idx="50">
                  <c:v>25.910326049029329</c:v>
                </c:pt>
                <c:pt idx="51">
                  <c:v>25.910326049029329</c:v>
                </c:pt>
                <c:pt idx="52">
                  <c:v>25.910326049029329</c:v>
                </c:pt>
                <c:pt idx="53">
                  <c:v>25.910326049029329</c:v>
                </c:pt>
                <c:pt idx="54">
                  <c:v>25.910326049029329</c:v>
                </c:pt>
                <c:pt idx="55">
                  <c:v>25.910326049029329</c:v>
                </c:pt>
                <c:pt idx="56">
                  <c:v>25.910326049029329</c:v>
                </c:pt>
                <c:pt idx="57">
                  <c:v>25.910326049029329</c:v>
                </c:pt>
                <c:pt idx="58">
                  <c:v>25.910326049029329</c:v>
                </c:pt>
                <c:pt idx="59">
                  <c:v>25.910326049029329</c:v>
                </c:pt>
                <c:pt idx="60">
                  <c:v>25.910326049029329</c:v>
                </c:pt>
                <c:pt idx="61">
                  <c:v>15.363630405709555</c:v>
                </c:pt>
                <c:pt idx="62">
                  <c:v>15.363630405709555</c:v>
                </c:pt>
                <c:pt idx="63">
                  <c:v>15.363630405709555</c:v>
                </c:pt>
                <c:pt idx="64">
                  <c:v>15.363630405709555</c:v>
                </c:pt>
                <c:pt idx="65">
                  <c:v>15.363630405709555</c:v>
                </c:pt>
                <c:pt idx="66">
                  <c:v>15.363630405709555</c:v>
                </c:pt>
                <c:pt idx="67">
                  <c:v>15.363630405709555</c:v>
                </c:pt>
                <c:pt idx="68">
                  <c:v>15.363630405709555</c:v>
                </c:pt>
                <c:pt idx="69">
                  <c:v>15.363630405709555</c:v>
                </c:pt>
                <c:pt idx="70">
                  <c:v>15.363630405709555</c:v>
                </c:pt>
                <c:pt idx="71">
                  <c:v>15.363630405709555</c:v>
                </c:pt>
                <c:pt idx="72">
                  <c:v>15.363630405709555</c:v>
                </c:pt>
                <c:pt idx="73">
                  <c:v>15.363630405709555</c:v>
                </c:pt>
                <c:pt idx="74">
                  <c:v>15.363630405709555</c:v>
                </c:pt>
                <c:pt idx="75">
                  <c:v>15.363630405709555</c:v>
                </c:pt>
                <c:pt idx="76">
                  <c:v>15.363630405709555</c:v>
                </c:pt>
                <c:pt idx="77">
                  <c:v>15.363630405709555</c:v>
                </c:pt>
                <c:pt idx="78">
                  <c:v>15.363630405709555</c:v>
                </c:pt>
                <c:pt idx="79">
                  <c:v>15.363630405709555</c:v>
                </c:pt>
                <c:pt idx="80">
                  <c:v>15.363630405709555</c:v>
                </c:pt>
                <c:pt idx="81">
                  <c:v>15.363630405709555</c:v>
                </c:pt>
                <c:pt idx="82">
                  <c:v>15.363630405709555</c:v>
                </c:pt>
                <c:pt idx="83">
                  <c:v>15.363630405709555</c:v>
                </c:pt>
                <c:pt idx="84">
                  <c:v>15.363630405709555</c:v>
                </c:pt>
                <c:pt idx="85">
                  <c:v>15.363630405709555</c:v>
                </c:pt>
                <c:pt idx="86">
                  <c:v>15.363630405709555</c:v>
                </c:pt>
                <c:pt idx="87">
                  <c:v>15.363630405709555</c:v>
                </c:pt>
                <c:pt idx="88">
                  <c:v>15.363630405709555</c:v>
                </c:pt>
                <c:pt idx="89">
                  <c:v>15.363630405709555</c:v>
                </c:pt>
                <c:pt idx="90">
                  <c:v>15.363630405709555</c:v>
                </c:pt>
                <c:pt idx="91">
                  <c:v>15.363630405709555</c:v>
                </c:pt>
                <c:pt idx="92">
                  <c:v>19.885734840413747</c:v>
                </c:pt>
                <c:pt idx="93">
                  <c:v>19.885734840413747</c:v>
                </c:pt>
                <c:pt idx="94">
                  <c:v>19.885734840413747</c:v>
                </c:pt>
                <c:pt idx="95">
                  <c:v>19.885734840413747</c:v>
                </c:pt>
                <c:pt idx="96">
                  <c:v>19.885734840413747</c:v>
                </c:pt>
                <c:pt idx="97">
                  <c:v>19.885734840413747</c:v>
                </c:pt>
                <c:pt idx="98">
                  <c:v>19.885734840413747</c:v>
                </c:pt>
                <c:pt idx="99">
                  <c:v>19.885734840413747</c:v>
                </c:pt>
                <c:pt idx="100">
                  <c:v>19.885734840413747</c:v>
                </c:pt>
                <c:pt idx="101">
                  <c:v>19.885734840413747</c:v>
                </c:pt>
                <c:pt idx="102">
                  <c:v>19.885734840413747</c:v>
                </c:pt>
                <c:pt idx="103">
                  <c:v>19.885734840413747</c:v>
                </c:pt>
                <c:pt idx="104">
                  <c:v>19.885734840413747</c:v>
                </c:pt>
                <c:pt idx="105">
                  <c:v>19.885734840413747</c:v>
                </c:pt>
                <c:pt idx="106">
                  <c:v>19.885734840413747</c:v>
                </c:pt>
                <c:pt idx="107">
                  <c:v>19.885734840413747</c:v>
                </c:pt>
                <c:pt idx="108">
                  <c:v>19.885734840413747</c:v>
                </c:pt>
                <c:pt idx="109">
                  <c:v>19.885734840413747</c:v>
                </c:pt>
                <c:pt idx="110">
                  <c:v>19.885734840413747</c:v>
                </c:pt>
                <c:pt idx="111">
                  <c:v>19.885734840413747</c:v>
                </c:pt>
                <c:pt idx="112">
                  <c:v>19.885734840413747</c:v>
                </c:pt>
                <c:pt idx="113">
                  <c:v>19.885734840413747</c:v>
                </c:pt>
                <c:pt idx="114">
                  <c:v>19.885734840413747</c:v>
                </c:pt>
                <c:pt idx="115">
                  <c:v>19.885734840413747</c:v>
                </c:pt>
                <c:pt idx="116">
                  <c:v>19.885734840413747</c:v>
                </c:pt>
                <c:pt idx="117">
                  <c:v>19.885734840413747</c:v>
                </c:pt>
                <c:pt idx="118">
                  <c:v>19.885734840413747</c:v>
                </c:pt>
                <c:pt idx="119">
                  <c:v>19.885734840413747</c:v>
                </c:pt>
                <c:pt idx="120">
                  <c:v>19.885734840413747</c:v>
                </c:pt>
                <c:pt idx="121">
                  <c:v>19.885734840413747</c:v>
                </c:pt>
                <c:pt idx="122">
                  <c:v>40.505689176644211</c:v>
                </c:pt>
                <c:pt idx="123">
                  <c:v>40.505689176644211</c:v>
                </c:pt>
                <c:pt idx="124">
                  <c:v>40.505689176644211</c:v>
                </c:pt>
                <c:pt idx="125">
                  <c:v>40.505689176644211</c:v>
                </c:pt>
                <c:pt idx="126">
                  <c:v>40.505689176644211</c:v>
                </c:pt>
                <c:pt idx="127">
                  <c:v>40.505689176644211</c:v>
                </c:pt>
                <c:pt idx="128">
                  <c:v>40.505689176644211</c:v>
                </c:pt>
                <c:pt idx="129">
                  <c:v>40.505689176644211</c:v>
                </c:pt>
                <c:pt idx="130">
                  <c:v>40.505689176644211</c:v>
                </c:pt>
                <c:pt idx="131">
                  <c:v>40.505689176644211</c:v>
                </c:pt>
                <c:pt idx="132">
                  <c:v>40.505689176644211</c:v>
                </c:pt>
                <c:pt idx="133">
                  <c:v>40.505689176644211</c:v>
                </c:pt>
                <c:pt idx="134">
                  <c:v>40.505689176644211</c:v>
                </c:pt>
                <c:pt idx="135">
                  <c:v>40.505689176644211</c:v>
                </c:pt>
                <c:pt idx="136">
                  <c:v>40.505689176644211</c:v>
                </c:pt>
                <c:pt idx="137">
                  <c:v>40.505689176644211</c:v>
                </c:pt>
                <c:pt idx="138">
                  <c:v>40.505689176644211</c:v>
                </c:pt>
                <c:pt idx="139">
                  <c:v>40.505689176644211</c:v>
                </c:pt>
                <c:pt idx="140">
                  <c:v>40.505689176644211</c:v>
                </c:pt>
                <c:pt idx="141">
                  <c:v>40.505689176644211</c:v>
                </c:pt>
                <c:pt idx="142">
                  <c:v>40.505689176644211</c:v>
                </c:pt>
                <c:pt idx="143">
                  <c:v>40.505689176644211</c:v>
                </c:pt>
                <c:pt idx="144">
                  <c:v>40.505689176644211</c:v>
                </c:pt>
                <c:pt idx="145">
                  <c:v>40.505689176644211</c:v>
                </c:pt>
                <c:pt idx="146">
                  <c:v>40.505689176644211</c:v>
                </c:pt>
                <c:pt idx="147">
                  <c:v>40.505689176644211</c:v>
                </c:pt>
                <c:pt idx="148">
                  <c:v>40.505689176644211</c:v>
                </c:pt>
                <c:pt idx="149">
                  <c:v>40.505689176644211</c:v>
                </c:pt>
                <c:pt idx="150">
                  <c:v>40.505689176644211</c:v>
                </c:pt>
                <c:pt idx="151">
                  <c:v>40.505689176644211</c:v>
                </c:pt>
                <c:pt idx="152">
                  <c:v>40.505689176644211</c:v>
                </c:pt>
                <c:pt idx="153">
                  <c:v>82.040549235563063</c:v>
                </c:pt>
                <c:pt idx="154">
                  <c:v>82.040549235563063</c:v>
                </c:pt>
                <c:pt idx="155">
                  <c:v>82.040549235563063</c:v>
                </c:pt>
                <c:pt idx="156">
                  <c:v>82.040549235563063</c:v>
                </c:pt>
                <c:pt idx="157">
                  <c:v>82.040549235563063</c:v>
                </c:pt>
                <c:pt idx="158">
                  <c:v>82.040549235563063</c:v>
                </c:pt>
                <c:pt idx="159">
                  <c:v>82.040549235563063</c:v>
                </c:pt>
                <c:pt idx="160">
                  <c:v>82.040549235563063</c:v>
                </c:pt>
                <c:pt idx="161">
                  <c:v>82.040549235563063</c:v>
                </c:pt>
                <c:pt idx="162">
                  <c:v>82.040549235563063</c:v>
                </c:pt>
                <c:pt idx="163">
                  <c:v>82.040549235563063</c:v>
                </c:pt>
                <c:pt idx="164">
                  <c:v>82.040549235563063</c:v>
                </c:pt>
                <c:pt idx="165">
                  <c:v>82.040549235563063</c:v>
                </c:pt>
                <c:pt idx="166">
                  <c:v>82.040549235563063</c:v>
                </c:pt>
                <c:pt idx="167">
                  <c:v>82.040549235563063</c:v>
                </c:pt>
                <c:pt idx="168">
                  <c:v>82.040549235563063</c:v>
                </c:pt>
                <c:pt idx="169">
                  <c:v>82.040549235563063</c:v>
                </c:pt>
                <c:pt idx="170">
                  <c:v>82.040549235563063</c:v>
                </c:pt>
                <c:pt idx="171">
                  <c:v>82.040549235563063</c:v>
                </c:pt>
                <c:pt idx="172">
                  <c:v>82.040549235563063</c:v>
                </c:pt>
                <c:pt idx="173">
                  <c:v>82.040549235563063</c:v>
                </c:pt>
                <c:pt idx="174">
                  <c:v>82.040549235563063</c:v>
                </c:pt>
                <c:pt idx="175">
                  <c:v>82.040549235563063</c:v>
                </c:pt>
                <c:pt idx="176">
                  <c:v>82.040549235563063</c:v>
                </c:pt>
                <c:pt idx="177">
                  <c:v>82.040549235563063</c:v>
                </c:pt>
                <c:pt idx="178">
                  <c:v>82.040549235563063</c:v>
                </c:pt>
                <c:pt idx="179">
                  <c:v>82.040549235563063</c:v>
                </c:pt>
                <c:pt idx="180">
                  <c:v>82.040549235563063</c:v>
                </c:pt>
                <c:pt idx="181">
                  <c:v>82.040549235563063</c:v>
                </c:pt>
                <c:pt idx="182">
                  <c:v>82.040549235563063</c:v>
                </c:pt>
                <c:pt idx="183">
                  <c:v>104.34579689704225</c:v>
                </c:pt>
                <c:pt idx="184">
                  <c:v>104.34579689704225</c:v>
                </c:pt>
                <c:pt idx="185">
                  <c:v>104.34579689704225</c:v>
                </c:pt>
                <c:pt idx="186">
                  <c:v>104.34579689704225</c:v>
                </c:pt>
                <c:pt idx="187">
                  <c:v>104.34579689704225</c:v>
                </c:pt>
                <c:pt idx="188">
                  <c:v>104.34579689704225</c:v>
                </c:pt>
                <c:pt idx="189">
                  <c:v>104.34579689704225</c:v>
                </c:pt>
                <c:pt idx="190">
                  <c:v>104.34579689704225</c:v>
                </c:pt>
                <c:pt idx="191">
                  <c:v>104.34579689704225</c:v>
                </c:pt>
                <c:pt idx="192">
                  <c:v>104.34579689704225</c:v>
                </c:pt>
                <c:pt idx="193">
                  <c:v>104.34579689704225</c:v>
                </c:pt>
                <c:pt idx="194">
                  <c:v>104.34579689704225</c:v>
                </c:pt>
                <c:pt idx="195">
                  <c:v>104.34579689704225</c:v>
                </c:pt>
                <c:pt idx="196">
                  <c:v>104.34579689704225</c:v>
                </c:pt>
                <c:pt idx="197">
                  <c:v>104.34579689704225</c:v>
                </c:pt>
                <c:pt idx="198">
                  <c:v>104.34579689704225</c:v>
                </c:pt>
                <c:pt idx="199">
                  <c:v>104.34579689704225</c:v>
                </c:pt>
                <c:pt idx="200">
                  <c:v>104.34579689704225</c:v>
                </c:pt>
                <c:pt idx="201">
                  <c:v>104.34579689704225</c:v>
                </c:pt>
                <c:pt idx="202">
                  <c:v>104.34579689704225</c:v>
                </c:pt>
                <c:pt idx="203">
                  <c:v>104.34579689704225</c:v>
                </c:pt>
                <c:pt idx="204">
                  <c:v>104.34579689704225</c:v>
                </c:pt>
                <c:pt idx="205">
                  <c:v>104.34579689704225</c:v>
                </c:pt>
                <c:pt idx="206">
                  <c:v>104.34579689704225</c:v>
                </c:pt>
                <c:pt idx="207">
                  <c:v>104.34579689704225</c:v>
                </c:pt>
                <c:pt idx="208">
                  <c:v>104.34579689704225</c:v>
                </c:pt>
                <c:pt idx="209">
                  <c:v>104.34579689704225</c:v>
                </c:pt>
                <c:pt idx="210">
                  <c:v>104.34579689704225</c:v>
                </c:pt>
                <c:pt idx="211">
                  <c:v>104.34579689704225</c:v>
                </c:pt>
                <c:pt idx="212">
                  <c:v>104.34579689704225</c:v>
                </c:pt>
                <c:pt idx="213">
                  <c:v>104.34579689704225</c:v>
                </c:pt>
                <c:pt idx="214">
                  <c:v>119.24912559323448</c:v>
                </c:pt>
                <c:pt idx="215">
                  <c:v>119.24912559323448</c:v>
                </c:pt>
                <c:pt idx="216">
                  <c:v>119.24912559323448</c:v>
                </c:pt>
                <c:pt idx="217">
                  <c:v>119.24912559323448</c:v>
                </c:pt>
                <c:pt idx="218">
                  <c:v>119.24912559323448</c:v>
                </c:pt>
                <c:pt idx="219">
                  <c:v>119.24912559323448</c:v>
                </c:pt>
                <c:pt idx="220">
                  <c:v>119.24912559323448</c:v>
                </c:pt>
                <c:pt idx="221">
                  <c:v>119.24912559323448</c:v>
                </c:pt>
                <c:pt idx="222">
                  <c:v>119.24912559323448</c:v>
                </c:pt>
                <c:pt idx="223">
                  <c:v>119.24912559323448</c:v>
                </c:pt>
                <c:pt idx="224">
                  <c:v>119.24912559323448</c:v>
                </c:pt>
                <c:pt idx="225">
                  <c:v>119.24912559323448</c:v>
                </c:pt>
                <c:pt idx="226">
                  <c:v>119.24912559323448</c:v>
                </c:pt>
                <c:pt idx="227">
                  <c:v>119.24912559323448</c:v>
                </c:pt>
                <c:pt idx="228">
                  <c:v>119.24912559323448</c:v>
                </c:pt>
                <c:pt idx="229">
                  <c:v>119.24912559323448</c:v>
                </c:pt>
                <c:pt idx="230">
                  <c:v>119.24912559323448</c:v>
                </c:pt>
                <c:pt idx="231">
                  <c:v>119.24912559323448</c:v>
                </c:pt>
                <c:pt idx="232">
                  <c:v>119.24912559323448</c:v>
                </c:pt>
                <c:pt idx="233">
                  <c:v>119.24912559323448</c:v>
                </c:pt>
                <c:pt idx="234">
                  <c:v>119.24912559323448</c:v>
                </c:pt>
                <c:pt idx="235">
                  <c:v>119.24912559323448</c:v>
                </c:pt>
                <c:pt idx="236">
                  <c:v>119.24912559323448</c:v>
                </c:pt>
                <c:pt idx="237">
                  <c:v>119.24912559323448</c:v>
                </c:pt>
                <c:pt idx="238">
                  <c:v>119.24912559323448</c:v>
                </c:pt>
                <c:pt idx="239">
                  <c:v>119.24912559323448</c:v>
                </c:pt>
                <c:pt idx="240">
                  <c:v>119.24912559323448</c:v>
                </c:pt>
                <c:pt idx="241">
                  <c:v>119.24912559323448</c:v>
                </c:pt>
                <c:pt idx="242">
                  <c:v>119.24912559323448</c:v>
                </c:pt>
                <c:pt idx="243">
                  <c:v>119.24912559323448</c:v>
                </c:pt>
                <c:pt idx="244">
                  <c:v>119.24912559323448</c:v>
                </c:pt>
                <c:pt idx="245">
                  <c:v>124.45770390135006</c:v>
                </c:pt>
                <c:pt idx="246">
                  <c:v>124.45770390135006</c:v>
                </c:pt>
                <c:pt idx="247">
                  <c:v>124.45770390135006</c:v>
                </c:pt>
                <c:pt idx="248">
                  <c:v>124.45770390135006</c:v>
                </c:pt>
                <c:pt idx="249">
                  <c:v>124.45770390135006</c:v>
                </c:pt>
                <c:pt idx="250">
                  <c:v>124.45770390135006</c:v>
                </c:pt>
                <c:pt idx="251">
                  <c:v>124.45770390135006</c:v>
                </c:pt>
                <c:pt idx="252">
                  <c:v>124.45770390135006</c:v>
                </c:pt>
                <c:pt idx="253">
                  <c:v>124.45770390135006</c:v>
                </c:pt>
                <c:pt idx="254">
                  <c:v>124.45770390135006</c:v>
                </c:pt>
                <c:pt idx="255">
                  <c:v>124.45770390135006</c:v>
                </c:pt>
                <c:pt idx="256">
                  <c:v>124.45770390135006</c:v>
                </c:pt>
                <c:pt idx="257">
                  <c:v>124.45770390135006</c:v>
                </c:pt>
                <c:pt idx="258">
                  <c:v>124.45770390135006</c:v>
                </c:pt>
                <c:pt idx="259">
                  <c:v>124.45770390135006</c:v>
                </c:pt>
                <c:pt idx="260">
                  <c:v>124.45770390135006</c:v>
                </c:pt>
                <c:pt idx="261">
                  <c:v>124.45770390135006</c:v>
                </c:pt>
                <c:pt idx="262">
                  <c:v>124.45770390135006</c:v>
                </c:pt>
                <c:pt idx="263">
                  <c:v>124.45770390135006</c:v>
                </c:pt>
                <c:pt idx="264">
                  <c:v>124.45770390135006</c:v>
                </c:pt>
                <c:pt idx="265">
                  <c:v>124.45770390135006</c:v>
                </c:pt>
                <c:pt idx="266">
                  <c:v>124.45770390135006</c:v>
                </c:pt>
                <c:pt idx="267">
                  <c:v>124.45770390135006</c:v>
                </c:pt>
                <c:pt idx="268">
                  <c:v>124.45770390135006</c:v>
                </c:pt>
                <c:pt idx="269">
                  <c:v>124.45770390135006</c:v>
                </c:pt>
                <c:pt idx="270">
                  <c:v>124.45770390135006</c:v>
                </c:pt>
                <c:pt idx="271">
                  <c:v>124.45770390135006</c:v>
                </c:pt>
                <c:pt idx="272">
                  <c:v>124.45770390135006</c:v>
                </c:pt>
                <c:pt idx="273">
                  <c:v>129.67177197597073</c:v>
                </c:pt>
                <c:pt idx="274">
                  <c:v>129.67177197597073</c:v>
                </c:pt>
                <c:pt idx="275">
                  <c:v>129.67177197597073</c:v>
                </c:pt>
                <c:pt idx="276">
                  <c:v>129.67177197597073</c:v>
                </c:pt>
                <c:pt idx="277">
                  <c:v>129.67177197597073</c:v>
                </c:pt>
                <c:pt idx="278">
                  <c:v>129.67177197597073</c:v>
                </c:pt>
                <c:pt idx="279">
                  <c:v>129.67177197597073</c:v>
                </c:pt>
                <c:pt idx="280">
                  <c:v>129.67177197597073</c:v>
                </c:pt>
                <c:pt idx="281">
                  <c:v>129.67177197597073</c:v>
                </c:pt>
                <c:pt idx="282">
                  <c:v>129.67177197597073</c:v>
                </c:pt>
                <c:pt idx="283">
                  <c:v>129.67177197597073</c:v>
                </c:pt>
                <c:pt idx="284">
                  <c:v>129.67177197597073</c:v>
                </c:pt>
                <c:pt idx="285">
                  <c:v>129.67177197597073</c:v>
                </c:pt>
                <c:pt idx="286">
                  <c:v>129.67177197597073</c:v>
                </c:pt>
                <c:pt idx="287">
                  <c:v>129.67177197597073</c:v>
                </c:pt>
                <c:pt idx="288">
                  <c:v>129.67177197597073</c:v>
                </c:pt>
                <c:pt idx="289">
                  <c:v>129.67177197597073</c:v>
                </c:pt>
                <c:pt idx="290">
                  <c:v>129.67177197597073</c:v>
                </c:pt>
                <c:pt idx="291">
                  <c:v>129.67177197597073</c:v>
                </c:pt>
                <c:pt idx="292">
                  <c:v>129.67177197597073</c:v>
                </c:pt>
                <c:pt idx="293">
                  <c:v>129.67177197597073</c:v>
                </c:pt>
                <c:pt idx="294">
                  <c:v>129.67177197597073</c:v>
                </c:pt>
                <c:pt idx="295">
                  <c:v>129.67177197597073</c:v>
                </c:pt>
                <c:pt idx="296">
                  <c:v>129.67177197597073</c:v>
                </c:pt>
                <c:pt idx="297">
                  <c:v>129.67177197597073</c:v>
                </c:pt>
                <c:pt idx="298">
                  <c:v>129.67177197597073</c:v>
                </c:pt>
                <c:pt idx="299">
                  <c:v>129.67177197597073</c:v>
                </c:pt>
                <c:pt idx="300">
                  <c:v>129.67177197597073</c:v>
                </c:pt>
                <c:pt idx="301">
                  <c:v>129.67177197597073</c:v>
                </c:pt>
                <c:pt idx="302">
                  <c:v>129.67177197597073</c:v>
                </c:pt>
                <c:pt idx="303">
                  <c:v>129.67177197597073</c:v>
                </c:pt>
                <c:pt idx="304">
                  <c:v>123.24737037204483</c:v>
                </c:pt>
                <c:pt idx="305">
                  <c:v>123.24737037204483</c:v>
                </c:pt>
                <c:pt idx="306">
                  <c:v>123.24737037204483</c:v>
                </c:pt>
                <c:pt idx="307">
                  <c:v>123.24737037204483</c:v>
                </c:pt>
                <c:pt idx="308">
                  <c:v>123.24737037204483</c:v>
                </c:pt>
                <c:pt idx="309">
                  <c:v>123.24737037204483</c:v>
                </c:pt>
                <c:pt idx="310">
                  <c:v>123.24737037204483</c:v>
                </c:pt>
                <c:pt idx="311">
                  <c:v>123.24737037204483</c:v>
                </c:pt>
                <c:pt idx="312">
                  <c:v>123.24737037204483</c:v>
                </c:pt>
                <c:pt idx="313">
                  <c:v>123.24737037204483</c:v>
                </c:pt>
                <c:pt idx="314">
                  <c:v>123.24737037204483</c:v>
                </c:pt>
                <c:pt idx="315">
                  <c:v>123.24737037204483</c:v>
                </c:pt>
                <c:pt idx="316">
                  <c:v>123.24737037204483</c:v>
                </c:pt>
                <c:pt idx="317">
                  <c:v>123.24737037204483</c:v>
                </c:pt>
                <c:pt idx="318">
                  <c:v>123.24737037204483</c:v>
                </c:pt>
                <c:pt idx="319">
                  <c:v>123.24737037204483</c:v>
                </c:pt>
                <c:pt idx="320">
                  <c:v>123.24737037204483</c:v>
                </c:pt>
                <c:pt idx="321">
                  <c:v>123.24737037204483</c:v>
                </c:pt>
                <c:pt idx="322">
                  <c:v>123.24737037204483</c:v>
                </c:pt>
                <c:pt idx="323">
                  <c:v>123.24737037204483</c:v>
                </c:pt>
                <c:pt idx="324">
                  <c:v>123.24737037204483</c:v>
                </c:pt>
                <c:pt idx="325">
                  <c:v>123.24737037204483</c:v>
                </c:pt>
                <c:pt idx="326">
                  <c:v>123.24737037204483</c:v>
                </c:pt>
                <c:pt idx="327">
                  <c:v>123.24737037204483</c:v>
                </c:pt>
                <c:pt idx="328">
                  <c:v>123.24737037204483</c:v>
                </c:pt>
                <c:pt idx="329">
                  <c:v>123.24737037204483</c:v>
                </c:pt>
                <c:pt idx="330">
                  <c:v>123.24737037204483</c:v>
                </c:pt>
                <c:pt idx="331">
                  <c:v>123.24737037204483</c:v>
                </c:pt>
                <c:pt idx="332">
                  <c:v>123.24737037204483</c:v>
                </c:pt>
                <c:pt idx="333">
                  <c:v>123.24737037204483</c:v>
                </c:pt>
                <c:pt idx="334">
                  <c:v>94.081084096418962</c:v>
                </c:pt>
                <c:pt idx="335">
                  <c:v>94.081084096418962</c:v>
                </c:pt>
                <c:pt idx="336">
                  <c:v>94.081084096418962</c:v>
                </c:pt>
                <c:pt idx="337">
                  <c:v>94.081084096418962</c:v>
                </c:pt>
                <c:pt idx="338">
                  <c:v>94.081084096418962</c:v>
                </c:pt>
                <c:pt idx="339">
                  <c:v>94.081084096418962</c:v>
                </c:pt>
                <c:pt idx="340">
                  <c:v>94.081084096418962</c:v>
                </c:pt>
                <c:pt idx="341">
                  <c:v>94.081084096418962</c:v>
                </c:pt>
                <c:pt idx="342">
                  <c:v>94.081084096418962</c:v>
                </c:pt>
                <c:pt idx="343">
                  <c:v>94.081084096418962</c:v>
                </c:pt>
                <c:pt idx="344">
                  <c:v>94.081084096418962</c:v>
                </c:pt>
                <c:pt idx="345">
                  <c:v>94.081084096418962</c:v>
                </c:pt>
                <c:pt idx="346">
                  <c:v>94.081084096418962</c:v>
                </c:pt>
                <c:pt idx="347">
                  <c:v>94.081084096418962</c:v>
                </c:pt>
                <c:pt idx="348">
                  <c:v>94.081084096418962</c:v>
                </c:pt>
                <c:pt idx="349">
                  <c:v>94.081084096418962</c:v>
                </c:pt>
                <c:pt idx="350">
                  <c:v>94.081084096418962</c:v>
                </c:pt>
                <c:pt idx="351">
                  <c:v>94.081084096418962</c:v>
                </c:pt>
                <c:pt idx="352">
                  <c:v>94.081084096418962</c:v>
                </c:pt>
                <c:pt idx="353">
                  <c:v>94.081084096418962</c:v>
                </c:pt>
                <c:pt idx="354">
                  <c:v>94.081084096418962</c:v>
                </c:pt>
                <c:pt idx="355">
                  <c:v>94.081084096418962</c:v>
                </c:pt>
                <c:pt idx="356">
                  <c:v>94.081084096418962</c:v>
                </c:pt>
                <c:pt idx="357">
                  <c:v>94.081084096418962</c:v>
                </c:pt>
                <c:pt idx="358">
                  <c:v>94.081084096418962</c:v>
                </c:pt>
                <c:pt idx="359">
                  <c:v>94.081084096418962</c:v>
                </c:pt>
                <c:pt idx="360">
                  <c:v>94.081084096418962</c:v>
                </c:pt>
                <c:pt idx="361">
                  <c:v>94.081084096418962</c:v>
                </c:pt>
                <c:pt idx="362">
                  <c:v>94.081084096418962</c:v>
                </c:pt>
                <c:pt idx="363">
                  <c:v>94.081084096418962</c:v>
                </c:pt>
                <c:pt idx="364">
                  <c:v>94.081084096418962</c:v>
                </c:pt>
                <c:pt idx="365">
                  <c:v>61.406867513274626</c:v>
                </c:pt>
                <c:pt idx="366">
                  <c:v>61.406867513274626</c:v>
                </c:pt>
                <c:pt idx="367">
                  <c:v>61.406867513274626</c:v>
                </c:pt>
                <c:pt idx="368">
                  <c:v>61.406867513274626</c:v>
                </c:pt>
                <c:pt idx="369">
                  <c:v>61.406867513274626</c:v>
                </c:pt>
                <c:pt idx="370">
                  <c:v>61.406867513274626</c:v>
                </c:pt>
                <c:pt idx="371">
                  <c:v>61.406867513274626</c:v>
                </c:pt>
                <c:pt idx="372">
                  <c:v>61.406867513274626</c:v>
                </c:pt>
                <c:pt idx="373">
                  <c:v>61.406867513274626</c:v>
                </c:pt>
                <c:pt idx="374">
                  <c:v>61.406867513274626</c:v>
                </c:pt>
                <c:pt idx="375">
                  <c:v>61.406867513274626</c:v>
                </c:pt>
                <c:pt idx="376">
                  <c:v>61.406867513274626</c:v>
                </c:pt>
                <c:pt idx="377">
                  <c:v>61.406867513274626</c:v>
                </c:pt>
                <c:pt idx="378">
                  <c:v>61.406867513274626</c:v>
                </c:pt>
                <c:pt idx="379">
                  <c:v>61.406867513274626</c:v>
                </c:pt>
                <c:pt idx="380">
                  <c:v>61.406867513274626</c:v>
                </c:pt>
                <c:pt idx="381">
                  <c:v>61.406867513274626</c:v>
                </c:pt>
                <c:pt idx="382">
                  <c:v>61.406867513274626</c:v>
                </c:pt>
                <c:pt idx="383">
                  <c:v>61.406867513274626</c:v>
                </c:pt>
                <c:pt idx="384">
                  <c:v>61.406867513274626</c:v>
                </c:pt>
                <c:pt idx="385">
                  <c:v>61.406867513274626</c:v>
                </c:pt>
                <c:pt idx="386">
                  <c:v>61.406867513274626</c:v>
                </c:pt>
                <c:pt idx="387">
                  <c:v>61.406867513274626</c:v>
                </c:pt>
                <c:pt idx="388">
                  <c:v>61.406867513274626</c:v>
                </c:pt>
                <c:pt idx="389">
                  <c:v>61.406867513274626</c:v>
                </c:pt>
                <c:pt idx="390">
                  <c:v>61.406867513274626</c:v>
                </c:pt>
                <c:pt idx="391">
                  <c:v>61.406867513274626</c:v>
                </c:pt>
                <c:pt idx="392">
                  <c:v>61.406867513274626</c:v>
                </c:pt>
                <c:pt idx="393">
                  <c:v>61.406867513274626</c:v>
                </c:pt>
                <c:pt idx="394">
                  <c:v>61.406867513274626</c:v>
                </c:pt>
                <c:pt idx="395">
                  <c:v>25.377234765527756</c:v>
                </c:pt>
                <c:pt idx="396">
                  <c:v>25.377234765527756</c:v>
                </c:pt>
                <c:pt idx="397">
                  <c:v>25.377234765527756</c:v>
                </c:pt>
                <c:pt idx="398">
                  <c:v>25.377234765527756</c:v>
                </c:pt>
                <c:pt idx="399">
                  <c:v>25.377234765527756</c:v>
                </c:pt>
                <c:pt idx="400">
                  <c:v>25.377234765527756</c:v>
                </c:pt>
                <c:pt idx="401">
                  <c:v>25.377234765527756</c:v>
                </c:pt>
                <c:pt idx="402">
                  <c:v>25.377234765527756</c:v>
                </c:pt>
                <c:pt idx="403">
                  <c:v>25.377234765527756</c:v>
                </c:pt>
                <c:pt idx="404">
                  <c:v>25.377234765527756</c:v>
                </c:pt>
                <c:pt idx="405">
                  <c:v>25.377234765527756</c:v>
                </c:pt>
                <c:pt idx="406">
                  <c:v>25.377234765527756</c:v>
                </c:pt>
                <c:pt idx="407">
                  <c:v>25.377234765527756</c:v>
                </c:pt>
                <c:pt idx="408">
                  <c:v>25.377234765527756</c:v>
                </c:pt>
                <c:pt idx="409">
                  <c:v>25.377234765527756</c:v>
                </c:pt>
                <c:pt idx="410">
                  <c:v>25.377234765527756</c:v>
                </c:pt>
                <c:pt idx="411">
                  <c:v>25.377234765527756</c:v>
                </c:pt>
                <c:pt idx="412">
                  <c:v>25.377234765527756</c:v>
                </c:pt>
                <c:pt idx="413">
                  <c:v>25.377234765527756</c:v>
                </c:pt>
                <c:pt idx="414">
                  <c:v>25.377234765527756</c:v>
                </c:pt>
                <c:pt idx="415">
                  <c:v>25.377234765527756</c:v>
                </c:pt>
                <c:pt idx="416">
                  <c:v>25.377234765527756</c:v>
                </c:pt>
                <c:pt idx="417">
                  <c:v>25.377234765527756</c:v>
                </c:pt>
                <c:pt idx="418">
                  <c:v>25.377234765527756</c:v>
                </c:pt>
                <c:pt idx="419">
                  <c:v>25.377234765527756</c:v>
                </c:pt>
                <c:pt idx="420">
                  <c:v>25.377234765527756</c:v>
                </c:pt>
                <c:pt idx="421">
                  <c:v>25.377234765527756</c:v>
                </c:pt>
                <c:pt idx="422">
                  <c:v>25.377234765527756</c:v>
                </c:pt>
                <c:pt idx="423">
                  <c:v>25.377234765527756</c:v>
                </c:pt>
                <c:pt idx="424">
                  <c:v>25.377234765527756</c:v>
                </c:pt>
                <c:pt idx="425">
                  <c:v>25.377234765527756</c:v>
                </c:pt>
                <c:pt idx="426">
                  <c:v>14.606396891514056</c:v>
                </c:pt>
                <c:pt idx="427">
                  <c:v>14.606396891514056</c:v>
                </c:pt>
                <c:pt idx="428">
                  <c:v>14.606396891514056</c:v>
                </c:pt>
                <c:pt idx="429">
                  <c:v>14.606396891514056</c:v>
                </c:pt>
                <c:pt idx="430">
                  <c:v>14.606396891514056</c:v>
                </c:pt>
                <c:pt idx="431">
                  <c:v>14.606396891514056</c:v>
                </c:pt>
                <c:pt idx="432">
                  <c:v>14.606396891514056</c:v>
                </c:pt>
                <c:pt idx="433">
                  <c:v>14.606396891514056</c:v>
                </c:pt>
                <c:pt idx="434">
                  <c:v>14.606396891514056</c:v>
                </c:pt>
                <c:pt idx="435">
                  <c:v>14.606396891514056</c:v>
                </c:pt>
                <c:pt idx="436">
                  <c:v>14.606396891514056</c:v>
                </c:pt>
                <c:pt idx="437">
                  <c:v>14.606396891514056</c:v>
                </c:pt>
                <c:pt idx="438">
                  <c:v>14.606396891514056</c:v>
                </c:pt>
                <c:pt idx="439">
                  <c:v>14.606396891514056</c:v>
                </c:pt>
                <c:pt idx="440">
                  <c:v>14.606396891514056</c:v>
                </c:pt>
                <c:pt idx="441">
                  <c:v>14.606396891514056</c:v>
                </c:pt>
                <c:pt idx="442">
                  <c:v>14.606396891514056</c:v>
                </c:pt>
                <c:pt idx="443">
                  <c:v>14.606396891514056</c:v>
                </c:pt>
                <c:pt idx="444">
                  <c:v>14.606396891514056</c:v>
                </c:pt>
                <c:pt idx="445">
                  <c:v>14.606396891514056</c:v>
                </c:pt>
                <c:pt idx="446">
                  <c:v>14.606396891514056</c:v>
                </c:pt>
                <c:pt idx="447">
                  <c:v>14.606396891514056</c:v>
                </c:pt>
                <c:pt idx="448">
                  <c:v>14.606396891514056</c:v>
                </c:pt>
                <c:pt idx="449">
                  <c:v>14.606396891514056</c:v>
                </c:pt>
                <c:pt idx="450">
                  <c:v>14.606396891514056</c:v>
                </c:pt>
                <c:pt idx="451">
                  <c:v>14.606396891514056</c:v>
                </c:pt>
                <c:pt idx="452">
                  <c:v>14.606396891514056</c:v>
                </c:pt>
                <c:pt idx="453">
                  <c:v>14.606396891514056</c:v>
                </c:pt>
                <c:pt idx="454">
                  <c:v>14.606396891514056</c:v>
                </c:pt>
                <c:pt idx="455">
                  <c:v>14.606396891514056</c:v>
                </c:pt>
                <c:pt idx="456">
                  <c:v>14.606396891514056</c:v>
                </c:pt>
                <c:pt idx="457">
                  <c:v>20.096931654918169</c:v>
                </c:pt>
                <c:pt idx="458">
                  <c:v>20.096931654918169</c:v>
                </c:pt>
                <c:pt idx="459">
                  <c:v>20.096931654918169</c:v>
                </c:pt>
                <c:pt idx="460">
                  <c:v>20.096931654918169</c:v>
                </c:pt>
                <c:pt idx="461">
                  <c:v>20.096931654918169</c:v>
                </c:pt>
                <c:pt idx="462">
                  <c:v>20.096931654918169</c:v>
                </c:pt>
                <c:pt idx="463">
                  <c:v>20.096931654918169</c:v>
                </c:pt>
                <c:pt idx="464">
                  <c:v>20.096931654918169</c:v>
                </c:pt>
                <c:pt idx="465">
                  <c:v>20.096931654918169</c:v>
                </c:pt>
                <c:pt idx="466">
                  <c:v>20.096931654918169</c:v>
                </c:pt>
                <c:pt idx="467">
                  <c:v>20.096931654918169</c:v>
                </c:pt>
                <c:pt idx="468">
                  <c:v>20.096931654918169</c:v>
                </c:pt>
                <c:pt idx="469">
                  <c:v>20.096931654918169</c:v>
                </c:pt>
                <c:pt idx="470">
                  <c:v>20.096931654918169</c:v>
                </c:pt>
                <c:pt idx="471">
                  <c:v>20.096931654918169</c:v>
                </c:pt>
                <c:pt idx="472">
                  <c:v>20.096931654918169</c:v>
                </c:pt>
                <c:pt idx="473">
                  <c:v>20.096931654918169</c:v>
                </c:pt>
                <c:pt idx="474">
                  <c:v>20.096931654918169</c:v>
                </c:pt>
                <c:pt idx="475">
                  <c:v>20.096931654918169</c:v>
                </c:pt>
                <c:pt idx="476">
                  <c:v>20.096931654918169</c:v>
                </c:pt>
                <c:pt idx="477">
                  <c:v>20.096931654918169</c:v>
                </c:pt>
                <c:pt idx="478">
                  <c:v>20.096931654918169</c:v>
                </c:pt>
                <c:pt idx="479">
                  <c:v>20.096931654918169</c:v>
                </c:pt>
                <c:pt idx="480">
                  <c:v>20.096931654918169</c:v>
                </c:pt>
                <c:pt idx="481">
                  <c:v>20.096931654918169</c:v>
                </c:pt>
                <c:pt idx="482">
                  <c:v>20.096931654918169</c:v>
                </c:pt>
                <c:pt idx="483">
                  <c:v>20.096931654918169</c:v>
                </c:pt>
                <c:pt idx="484">
                  <c:v>20.096931654918169</c:v>
                </c:pt>
                <c:pt idx="485">
                  <c:v>20.096931654918169</c:v>
                </c:pt>
                <c:pt idx="486">
                  <c:v>20.096931654918169</c:v>
                </c:pt>
                <c:pt idx="487">
                  <c:v>43.337721010228627</c:v>
                </c:pt>
                <c:pt idx="488">
                  <c:v>43.337721010228627</c:v>
                </c:pt>
                <c:pt idx="489">
                  <c:v>43.337721010228627</c:v>
                </c:pt>
                <c:pt idx="490">
                  <c:v>43.337721010228627</c:v>
                </c:pt>
                <c:pt idx="491">
                  <c:v>43.337721010228627</c:v>
                </c:pt>
                <c:pt idx="492">
                  <c:v>43.337721010228627</c:v>
                </c:pt>
                <c:pt idx="493">
                  <c:v>43.337721010228627</c:v>
                </c:pt>
                <c:pt idx="494">
                  <c:v>43.337721010228627</c:v>
                </c:pt>
                <c:pt idx="495">
                  <c:v>43.337721010228627</c:v>
                </c:pt>
                <c:pt idx="496">
                  <c:v>43.337721010228627</c:v>
                </c:pt>
                <c:pt idx="497">
                  <c:v>43.337721010228627</c:v>
                </c:pt>
                <c:pt idx="498">
                  <c:v>43.337721010228627</c:v>
                </c:pt>
                <c:pt idx="499">
                  <c:v>43.337721010228627</c:v>
                </c:pt>
                <c:pt idx="500">
                  <c:v>43.337721010228627</c:v>
                </c:pt>
                <c:pt idx="501">
                  <c:v>43.337721010228627</c:v>
                </c:pt>
                <c:pt idx="502">
                  <c:v>43.337721010228627</c:v>
                </c:pt>
                <c:pt idx="503">
                  <c:v>43.337721010228627</c:v>
                </c:pt>
                <c:pt idx="504">
                  <c:v>43.337721010228627</c:v>
                </c:pt>
                <c:pt idx="505">
                  <c:v>43.337721010228627</c:v>
                </c:pt>
                <c:pt idx="506">
                  <c:v>43.337721010228627</c:v>
                </c:pt>
                <c:pt idx="507">
                  <c:v>43.337721010228627</c:v>
                </c:pt>
                <c:pt idx="508">
                  <c:v>43.337721010228627</c:v>
                </c:pt>
                <c:pt idx="509">
                  <c:v>43.337721010228627</c:v>
                </c:pt>
                <c:pt idx="510">
                  <c:v>43.337721010228627</c:v>
                </c:pt>
                <c:pt idx="511">
                  <c:v>43.337721010228627</c:v>
                </c:pt>
                <c:pt idx="512">
                  <c:v>43.337721010228627</c:v>
                </c:pt>
                <c:pt idx="513">
                  <c:v>43.337721010228627</c:v>
                </c:pt>
                <c:pt idx="514">
                  <c:v>43.337721010228627</c:v>
                </c:pt>
                <c:pt idx="515">
                  <c:v>43.337721010228627</c:v>
                </c:pt>
                <c:pt idx="516">
                  <c:v>43.337721010228627</c:v>
                </c:pt>
                <c:pt idx="517">
                  <c:v>43.337721010228627</c:v>
                </c:pt>
                <c:pt idx="518">
                  <c:v>82.357864438204317</c:v>
                </c:pt>
                <c:pt idx="519">
                  <c:v>82.357864438204317</c:v>
                </c:pt>
                <c:pt idx="520">
                  <c:v>82.357864438204317</c:v>
                </c:pt>
                <c:pt idx="521">
                  <c:v>82.357864438204317</c:v>
                </c:pt>
                <c:pt idx="522">
                  <c:v>82.357864438204317</c:v>
                </c:pt>
                <c:pt idx="523">
                  <c:v>82.357864438204317</c:v>
                </c:pt>
                <c:pt idx="524">
                  <c:v>82.357864438204317</c:v>
                </c:pt>
                <c:pt idx="525">
                  <c:v>82.357864438204317</c:v>
                </c:pt>
                <c:pt idx="526">
                  <c:v>82.357864438204317</c:v>
                </c:pt>
                <c:pt idx="527">
                  <c:v>82.357864438204317</c:v>
                </c:pt>
                <c:pt idx="528">
                  <c:v>82.357864438204317</c:v>
                </c:pt>
                <c:pt idx="529">
                  <c:v>82.357864438204317</c:v>
                </c:pt>
                <c:pt idx="530">
                  <c:v>82.357864438204317</c:v>
                </c:pt>
                <c:pt idx="531">
                  <c:v>82.357864438204317</c:v>
                </c:pt>
                <c:pt idx="532">
                  <c:v>82.357864438204317</c:v>
                </c:pt>
                <c:pt idx="533">
                  <c:v>82.357864438204317</c:v>
                </c:pt>
                <c:pt idx="534">
                  <c:v>82.357864438204317</c:v>
                </c:pt>
                <c:pt idx="535">
                  <c:v>82.357864438204317</c:v>
                </c:pt>
                <c:pt idx="536">
                  <c:v>82.357864438204317</c:v>
                </c:pt>
                <c:pt idx="537">
                  <c:v>82.357864438204317</c:v>
                </c:pt>
                <c:pt idx="538">
                  <c:v>82.357864438204317</c:v>
                </c:pt>
                <c:pt idx="539">
                  <c:v>82.357864438204317</c:v>
                </c:pt>
                <c:pt idx="540">
                  <c:v>82.357864438204317</c:v>
                </c:pt>
                <c:pt idx="541">
                  <c:v>82.357864438204317</c:v>
                </c:pt>
                <c:pt idx="542">
                  <c:v>82.357864438204317</c:v>
                </c:pt>
                <c:pt idx="543">
                  <c:v>82.357864438204317</c:v>
                </c:pt>
                <c:pt idx="544">
                  <c:v>82.357864438204317</c:v>
                </c:pt>
                <c:pt idx="545">
                  <c:v>82.357864438204317</c:v>
                </c:pt>
                <c:pt idx="546">
                  <c:v>82.357864438204317</c:v>
                </c:pt>
                <c:pt idx="547">
                  <c:v>82.357864438204317</c:v>
                </c:pt>
                <c:pt idx="548">
                  <c:v>105.05542662095111</c:v>
                </c:pt>
                <c:pt idx="549">
                  <c:v>105.05542662095111</c:v>
                </c:pt>
                <c:pt idx="550">
                  <c:v>105.05542662095111</c:v>
                </c:pt>
                <c:pt idx="551">
                  <c:v>105.05542662095111</c:v>
                </c:pt>
                <c:pt idx="552">
                  <c:v>105.05542662095111</c:v>
                </c:pt>
                <c:pt idx="553">
                  <c:v>105.05542662095111</c:v>
                </c:pt>
                <c:pt idx="554">
                  <c:v>105.05542662095111</c:v>
                </c:pt>
                <c:pt idx="555">
                  <c:v>105.05542662095111</c:v>
                </c:pt>
                <c:pt idx="556">
                  <c:v>105.05542662095111</c:v>
                </c:pt>
                <c:pt idx="557">
                  <c:v>105.05542662095111</c:v>
                </c:pt>
                <c:pt idx="558">
                  <c:v>105.05542662095111</c:v>
                </c:pt>
                <c:pt idx="559">
                  <c:v>105.05542662095111</c:v>
                </c:pt>
                <c:pt idx="560">
                  <c:v>105.05542662095111</c:v>
                </c:pt>
                <c:pt idx="561">
                  <c:v>105.05542662095111</c:v>
                </c:pt>
                <c:pt idx="562">
                  <c:v>105.05542662095111</c:v>
                </c:pt>
                <c:pt idx="563">
                  <c:v>105.05542662095111</c:v>
                </c:pt>
                <c:pt idx="564">
                  <c:v>105.05542662095111</c:v>
                </c:pt>
                <c:pt idx="565">
                  <c:v>105.05542662095111</c:v>
                </c:pt>
                <c:pt idx="566">
                  <c:v>105.05542662095111</c:v>
                </c:pt>
                <c:pt idx="567">
                  <c:v>105.05542662095111</c:v>
                </c:pt>
                <c:pt idx="568">
                  <c:v>105.05542662095111</c:v>
                </c:pt>
                <c:pt idx="569">
                  <c:v>105.05542662095111</c:v>
                </c:pt>
                <c:pt idx="570">
                  <c:v>105.05542662095111</c:v>
                </c:pt>
                <c:pt idx="571">
                  <c:v>105.05542662095111</c:v>
                </c:pt>
                <c:pt idx="572">
                  <c:v>105.05542662095111</c:v>
                </c:pt>
                <c:pt idx="573">
                  <c:v>105.05542662095111</c:v>
                </c:pt>
                <c:pt idx="574">
                  <c:v>105.05542662095111</c:v>
                </c:pt>
                <c:pt idx="575">
                  <c:v>105.05542662095111</c:v>
                </c:pt>
                <c:pt idx="576">
                  <c:v>105.05542662095111</c:v>
                </c:pt>
                <c:pt idx="577">
                  <c:v>105.05542662095111</c:v>
                </c:pt>
                <c:pt idx="578">
                  <c:v>105.05542662095111</c:v>
                </c:pt>
                <c:pt idx="579">
                  <c:v>122.79275785238266</c:v>
                </c:pt>
                <c:pt idx="580">
                  <c:v>122.79275785238266</c:v>
                </c:pt>
                <c:pt idx="581">
                  <c:v>122.79275785238266</c:v>
                </c:pt>
                <c:pt idx="582">
                  <c:v>122.79275785238266</c:v>
                </c:pt>
                <c:pt idx="583">
                  <c:v>122.79275785238266</c:v>
                </c:pt>
                <c:pt idx="584">
                  <c:v>122.79275785238266</c:v>
                </c:pt>
                <c:pt idx="585">
                  <c:v>122.79275785238266</c:v>
                </c:pt>
                <c:pt idx="586">
                  <c:v>122.79275785238266</c:v>
                </c:pt>
                <c:pt idx="587">
                  <c:v>122.79275785238266</c:v>
                </c:pt>
                <c:pt idx="588">
                  <c:v>122.79275785238266</c:v>
                </c:pt>
                <c:pt idx="589">
                  <c:v>122.79275785238266</c:v>
                </c:pt>
                <c:pt idx="590">
                  <c:v>122.79275785238266</c:v>
                </c:pt>
                <c:pt idx="591">
                  <c:v>122.79275785238266</c:v>
                </c:pt>
                <c:pt idx="592">
                  <c:v>122.79275785238266</c:v>
                </c:pt>
                <c:pt idx="593">
                  <c:v>122.79275785238266</c:v>
                </c:pt>
                <c:pt idx="594">
                  <c:v>122.79275785238266</c:v>
                </c:pt>
                <c:pt idx="595">
                  <c:v>122.79275785238266</c:v>
                </c:pt>
                <c:pt idx="596">
                  <c:v>122.79275785238266</c:v>
                </c:pt>
                <c:pt idx="597">
                  <c:v>122.79275785238266</c:v>
                </c:pt>
                <c:pt idx="598">
                  <c:v>122.79275785238266</c:v>
                </c:pt>
                <c:pt idx="599">
                  <c:v>122.79275785238266</c:v>
                </c:pt>
                <c:pt idx="600">
                  <c:v>122.79275785238266</c:v>
                </c:pt>
                <c:pt idx="601">
                  <c:v>122.79275785238266</c:v>
                </c:pt>
                <c:pt idx="602">
                  <c:v>122.79275785238266</c:v>
                </c:pt>
                <c:pt idx="603">
                  <c:v>122.79275785238266</c:v>
                </c:pt>
                <c:pt idx="604">
                  <c:v>122.79275785238266</c:v>
                </c:pt>
                <c:pt idx="605">
                  <c:v>122.79275785238266</c:v>
                </c:pt>
                <c:pt idx="606">
                  <c:v>122.79275785238266</c:v>
                </c:pt>
                <c:pt idx="607">
                  <c:v>122.79275785238266</c:v>
                </c:pt>
                <c:pt idx="608">
                  <c:v>122.79275785238266</c:v>
                </c:pt>
                <c:pt idx="609">
                  <c:v>122.79275785238266</c:v>
                </c:pt>
                <c:pt idx="610">
                  <c:v>130.24536147210011</c:v>
                </c:pt>
                <c:pt idx="611">
                  <c:v>130.24536147210011</c:v>
                </c:pt>
                <c:pt idx="612">
                  <c:v>130.24536147210011</c:v>
                </c:pt>
                <c:pt idx="613">
                  <c:v>130.24536147210011</c:v>
                </c:pt>
                <c:pt idx="614">
                  <c:v>130.24536147210011</c:v>
                </c:pt>
                <c:pt idx="615">
                  <c:v>130.24536147210011</c:v>
                </c:pt>
                <c:pt idx="616">
                  <c:v>130.24536147210011</c:v>
                </c:pt>
                <c:pt idx="617">
                  <c:v>130.24536147210011</c:v>
                </c:pt>
                <c:pt idx="618">
                  <c:v>130.24536147210011</c:v>
                </c:pt>
                <c:pt idx="619">
                  <c:v>130.24536147210011</c:v>
                </c:pt>
                <c:pt idx="620">
                  <c:v>130.24536147210011</c:v>
                </c:pt>
                <c:pt idx="621">
                  <c:v>130.24536147210011</c:v>
                </c:pt>
                <c:pt idx="622">
                  <c:v>130.24536147210011</c:v>
                </c:pt>
                <c:pt idx="623">
                  <c:v>130.24536147210011</c:v>
                </c:pt>
                <c:pt idx="624">
                  <c:v>130.24536147210011</c:v>
                </c:pt>
                <c:pt idx="625">
                  <c:v>130.24536147210011</c:v>
                </c:pt>
                <c:pt idx="626">
                  <c:v>130.24536147210011</c:v>
                </c:pt>
                <c:pt idx="627">
                  <c:v>130.24536147210011</c:v>
                </c:pt>
                <c:pt idx="628">
                  <c:v>130.24536147210011</c:v>
                </c:pt>
                <c:pt idx="629">
                  <c:v>130.24536147210011</c:v>
                </c:pt>
                <c:pt idx="630">
                  <c:v>130.24536147210011</c:v>
                </c:pt>
                <c:pt idx="631">
                  <c:v>130.24536147210011</c:v>
                </c:pt>
                <c:pt idx="632">
                  <c:v>130.24536147210011</c:v>
                </c:pt>
                <c:pt idx="633">
                  <c:v>130.24536147210011</c:v>
                </c:pt>
                <c:pt idx="634">
                  <c:v>130.24536147210011</c:v>
                </c:pt>
                <c:pt idx="635">
                  <c:v>130.24536147210011</c:v>
                </c:pt>
                <c:pt idx="636">
                  <c:v>130.24536147210011</c:v>
                </c:pt>
                <c:pt idx="637">
                  <c:v>130.24536147210011</c:v>
                </c:pt>
                <c:pt idx="638">
                  <c:v>137.27594688682913</c:v>
                </c:pt>
                <c:pt idx="639">
                  <c:v>137.27594688682913</c:v>
                </c:pt>
                <c:pt idx="640">
                  <c:v>137.27594688682913</c:v>
                </c:pt>
                <c:pt idx="641">
                  <c:v>137.27594688682913</c:v>
                </c:pt>
                <c:pt idx="642">
                  <c:v>137.27594688682913</c:v>
                </c:pt>
                <c:pt idx="643">
                  <c:v>137.27594688682913</c:v>
                </c:pt>
                <c:pt idx="644">
                  <c:v>137.27594688682913</c:v>
                </c:pt>
                <c:pt idx="645">
                  <c:v>137.27594688682913</c:v>
                </c:pt>
                <c:pt idx="646">
                  <c:v>137.27594688682913</c:v>
                </c:pt>
                <c:pt idx="647">
                  <c:v>137.27594688682913</c:v>
                </c:pt>
                <c:pt idx="648">
                  <c:v>137.27594688682913</c:v>
                </c:pt>
                <c:pt idx="649">
                  <c:v>137.27594688682913</c:v>
                </c:pt>
                <c:pt idx="650">
                  <c:v>137.27594688682913</c:v>
                </c:pt>
                <c:pt idx="651">
                  <c:v>137.27594688682913</c:v>
                </c:pt>
                <c:pt idx="652">
                  <c:v>137.27594688682913</c:v>
                </c:pt>
                <c:pt idx="653">
                  <c:v>137.27594688682913</c:v>
                </c:pt>
                <c:pt idx="654">
                  <c:v>137.27594688682913</c:v>
                </c:pt>
                <c:pt idx="655">
                  <c:v>137.27594688682913</c:v>
                </c:pt>
                <c:pt idx="656">
                  <c:v>137.27594688682913</c:v>
                </c:pt>
                <c:pt idx="657">
                  <c:v>137.27594688682913</c:v>
                </c:pt>
                <c:pt idx="658">
                  <c:v>137.27594688682913</c:v>
                </c:pt>
                <c:pt idx="659">
                  <c:v>137.27594688682913</c:v>
                </c:pt>
                <c:pt idx="660">
                  <c:v>137.27594688682913</c:v>
                </c:pt>
                <c:pt idx="661">
                  <c:v>137.27594688682913</c:v>
                </c:pt>
                <c:pt idx="662">
                  <c:v>137.27594688682913</c:v>
                </c:pt>
                <c:pt idx="663">
                  <c:v>137.27594688682913</c:v>
                </c:pt>
                <c:pt idx="664">
                  <c:v>137.27594688682913</c:v>
                </c:pt>
                <c:pt idx="665">
                  <c:v>137.27594688682913</c:v>
                </c:pt>
                <c:pt idx="666">
                  <c:v>137.27594688682913</c:v>
                </c:pt>
                <c:pt idx="667">
                  <c:v>137.27594688682913</c:v>
                </c:pt>
                <c:pt idx="668">
                  <c:v>137.27594688682913</c:v>
                </c:pt>
                <c:pt idx="669">
                  <c:v>127.74862877812576</c:v>
                </c:pt>
                <c:pt idx="670">
                  <c:v>127.74862877812576</c:v>
                </c:pt>
                <c:pt idx="671">
                  <c:v>127.74862877812576</c:v>
                </c:pt>
                <c:pt idx="672">
                  <c:v>127.74862877812576</c:v>
                </c:pt>
                <c:pt idx="673">
                  <c:v>127.74862877812576</c:v>
                </c:pt>
                <c:pt idx="674">
                  <c:v>127.74862877812576</c:v>
                </c:pt>
                <c:pt idx="675">
                  <c:v>127.74862877812576</c:v>
                </c:pt>
                <c:pt idx="676">
                  <c:v>127.74862877812576</c:v>
                </c:pt>
                <c:pt idx="677">
                  <c:v>127.74862877812576</c:v>
                </c:pt>
                <c:pt idx="678">
                  <c:v>127.74862877812576</c:v>
                </c:pt>
                <c:pt idx="679">
                  <c:v>127.74862877812576</c:v>
                </c:pt>
                <c:pt idx="680">
                  <c:v>127.74862877812576</c:v>
                </c:pt>
                <c:pt idx="681">
                  <c:v>127.74862877812576</c:v>
                </c:pt>
                <c:pt idx="682">
                  <c:v>127.74862877812576</c:v>
                </c:pt>
                <c:pt idx="683">
                  <c:v>127.74862877812576</c:v>
                </c:pt>
                <c:pt idx="684">
                  <c:v>127.74862877812576</c:v>
                </c:pt>
                <c:pt idx="685">
                  <c:v>127.74862877812576</c:v>
                </c:pt>
                <c:pt idx="686">
                  <c:v>127.74862877812576</c:v>
                </c:pt>
                <c:pt idx="687">
                  <c:v>127.74862877812576</c:v>
                </c:pt>
                <c:pt idx="688">
                  <c:v>127.74862877812576</c:v>
                </c:pt>
                <c:pt idx="689">
                  <c:v>127.74862877812576</c:v>
                </c:pt>
                <c:pt idx="690">
                  <c:v>127.74862877812576</c:v>
                </c:pt>
                <c:pt idx="691">
                  <c:v>127.74862877812576</c:v>
                </c:pt>
                <c:pt idx="692">
                  <c:v>127.74862877812576</c:v>
                </c:pt>
                <c:pt idx="693">
                  <c:v>127.74862877812576</c:v>
                </c:pt>
                <c:pt idx="694">
                  <c:v>127.74862877812576</c:v>
                </c:pt>
                <c:pt idx="695">
                  <c:v>127.74862877812576</c:v>
                </c:pt>
                <c:pt idx="696">
                  <c:v>127.74862877812576</c:v>
                </c:pt>
                <c:pt idx="697">
                  <c:v>127.74862877812576</c:v>
                </c:pt>
                <c:pt idx="698">
                  <c:v>127.74862877812576</c:v>
                </c:pt>
                <c:pt idx="699">
                  <c:v>96.996337327600401</c:v>
                </c:pt>
                <c:pt idx="700">
                  <c:v>96.996337327600401</c:v>
                </c:pt>
                <c:pt idx="701">
                  <c:v>96.996337327600401</c:v>
                </c:pt>
                <c:pt idx="702">
                  <c:v>96.996337327600401</c:v>
                </c:pt>
                <c:pt idx="703">
                  <c:v>96.996337327600401</c:v>
                </c:pt>
                <c:pt idx="704">
                  <c:v>96.996337327600401</c:v>
                </c:pt>
                <c:pt idx="705">
                  <c:v>96.996337327600401</c:v>
                </c:pt>
                <c:pt idx="706">
                  <c:v>96.996337327600401</c:v>
                </c:pt>
                <c:pt idx="707">
                  <c:v>96.996337327600401</c:v>
                </c:pt>
                <c:pt idx="708">
                  <c:v>96.996337327600401</c:v>
                </c:pt>
                <c:pt idx="709">
                  <c:v>96.996337327600401</c:v>
                </c:pt>
                <c:pt idx="710">
                  <c:v>96.996337327600401</c:v>
                </c:pt>
                <c:pt idx="711">
                  <c:v>96.996337327600401</c:v>
                </c:pt>
                <c:pt idx="712">
                  <c:v>96.996337327600401</c:v>
                </c:pt>
                <c:pt idx="713">
                  <c:v>96.996337327600401</c:v>
                </c:pt>
                <c:pt idx="714">
                  <c:v>96.996337327600401</c:v>
                </c:pt>
                <c:pt idx="715">
                  <c:v>96.996337327600401</c:v>
                </c:pt>
                <c:pt idx="716">
                  <c:v>96.996337327600401</c:v>
                </c:pt>
                <c:pt idx="717">
                  <c:v>96.996337327600401</c:v>
                </c:pt>
                <c:pt idx="718">
                  <c:v>96.996337327600401</c:v>
                </c:pt>
                <c:pt idx="719">
                  <c:v>96.996337327600401</c:v>
                </c:pt>
                <c:pt idx="720">
                  <c:v>96.996337327600401</c:v>
                </c:pt>
                <c:pt idx="721">
                  <c:v>96.996337327600401</c:v>
                </c:pt>
                <c:pt idx="722">
                  <c:v>96.996337327600401</c:v>
                </c:pt>
                <c:pt idx="723">
                  <c:v>96.996337327600401</c:v>
                </c:pt>
                <c:pt idx="724">
                  <c:v>96.996337327600401</c:v>
                </c:pt>
                <c:pt idx="725">
                  <c:v>96.996337327600401</c:v>
                </c:pt>
                <c:pt idx="726">
                  <c:v>96.996337327600401</c:v>
                </c:pt>
                <c:pt idx="727">
                  <c:v>96.996337327600401</c:v>
                </c:pt>
                <c:pt idx="728">
                  <c:v>96.996337327600401</c:v>
                </c:pt>
                <c:pt idx="729">
                  <c:v>96.996337327600401</c:v>
                </c:pt>
                <c:pt idx="730">
                  <c:v>62.073163406333713</c:v>
                </c:pt>
                <c:pt idx="731">
                  <c:v>62.073163406333713</c:v>
                </c:pt>
                <c:pt idx="732">
                  <c:v>62.073163406333713</c:v>
                </c:pt>
                <c:pt idx="733">
                  <c:v>62.073163406333713</c:v>
                </c:pt>
                <c:pt idx="734">
                  <c:v>62.073163406333713</c:v>
                </c:pt>
                <c:pt idx="735">
                  <c:v>62.073163406333713</c:v>
                </c:pt>
                <c:pt idx="736">
                  <c:v>62.073163406333713</c:v>
                </c:pt>
                <c:pt idx="737">
                  <c:v>62.073163406333713</c:v>
                </c:pt>
                <c:pt idx="738">
                  <c:v>62.073163406333713</c:v>
                </c:pt>
                <c:pt idx="739">
                  <c:v>62.073163406333713</c:v>
                </c:pt>
                <c:pt idx="740">
                  <c:v>62.073163406333713</c:v>
                </c:pt>
                <c:pt idx="741">
                  <c:v>62.073163406333713</c:v>
                </c:pt>
                <c:pt idx="742">
                  <c:v>62.073163406333713</c:v>
                </c:pt>
                <c:pt idx="743">
                  <c:v>62.073163406333713</c:v>
                </c:pt>
                <c:pt idx="744">
                  <c:v>62.073163406333713</c:v>
                </c:pt>
                <c:pt idx="745">
                  <c:v>62.073163406333713</c:v>
                </c:pt>
                <c:pt idx="746">
                  <c:v>62.073163406333713</c:v>
                </c:pt>
                <c:pt idx="747">
                  <c:v>62.073163406333713</c:v>
                </c:pt>
                <c:pt idx="748">
                  <c:v>62.073163406333713</c:v>
                </c:pt>
                <c:pt idx="749">
                  <c:v>62.073163406333713</c:v>
                </c:pt>
                <c:pt idx="750">
                  <c:v>62.073163406333713</c:v>
                </c:pt>
                <c:pt idx="751">
                  <c:v>62.073163406333713</c:v>
                </c:pt>
                <c:pt idx="752">
                  <c:v>62.073163406333713</c:v>
                </c:pt>
                <c:pt idx="753">
                  <c:v>62.073163406333713</c:v>
                </c:pt>
                <c:pt idx="754">
                  <c:v>62.073163406333713</c:v>
                </c:pt>
                <c:pt idx="755">
                  <c:v>62.073163406333713</c:v>
                </c:pt>
                <c:pt idx="756">
                  <c:v>62.073163406333713</c:v>
                </c:pt>
                <c:pt idx="757">
                  <c:v>62.073163406333713</c:v>
                </c:pt>
                <c:pt idx="758">
                  <c:v>62.073163406333713</c:v>
                </c:pt>
                <c:pt idx="759">
                  <c:v>62.073163406333713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5-4141-A914-5A20A00A4C60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cat>
            <c:multiLvlStrRef>
              <c:f>Dat_07!$G$52:$H$812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 </c:v>
                  </c:pt>
                  <c:pt idx="214">
                    <c:v>2025 </c:v>
                  </c:pt>
                  <c:pt idx="579">
                    <c:v>2026 </c:v>
                  </c:pt>
                </c:lvl>
              </c:multiLvlStrCache>
            </c:multiLvlStrRef>
          </c:cat>
          <c:val>
            <c:numRef>
              <c:f>Dat_07!$E$52:$E$811</c:f>
              <c:numCache>
                <c:formatCode>#,##0</c:formatCode>
                <c:ptCount val="760"/>
                <c:pt idx="0">
                  <c:v>40.377900895550802</c:v>
                </c:pt>
                <c:pt idx="1">
                  <c:v>37.02979080555081</c:v>
                </c:pt>
                <c:pt idx="2">
                  <c:v>62.145020957620687</c:v>
                </c:pt>
                <c:pt idx="3">
                  <c:v>62.145020957620687</c:v>
                </c:pt>
                <c:pt idx="4">
                  <c:v>62.145020957620687</c:v>
                </c:pt>
                <c:pt idx="5">
                  <c:v>62.145020957620687</c:v>
                </c:pt>
                <c:pt idx="6">
                  <c:v>62.145020957620687</c:v>
                </c:pt>
                <c:pt idx="7">
                  <c:v>50.981575186758434</c:v>
                </c:pt>
                <c:pt idx="8">
                  <c:v>20.362609987756571</c:v>
                </c:pt>
                <c:pt idx="9">
                  <c:v>36.739903890758434</c:v>
                </c:pt>
                <c:pt idx="10">
                  <c:v>39.157048026758439</c:v>
                </c:pt>
                <c:pt idx="11">
                  <c:v>60.845410224167765</c:v>
                </c:pt>
                <c:pt idx="12">
                  <c:v>62.145020957620687</c:v>
                </c:pt>
                <c:pt idx="13">
                  <c:v>57.264168413165898</c:v>
                </c:pt>
                <c:pt idx="14">
                  <c:v>31.127024317171482</c:v>
                </c:pt>
                <c:pt idx="15">
                  <c:v>37.974406523165896</c:v>
                </c:pt>
                <c:pt idx="16">
                  <c:v>59.228509084169623</c:v>
                </c:pt>
                <c:pt idx="17">
                  <c:v>62.145020957620687</c:v>
                </c:pt>
                <c:pt idx="18">
                  <c:v>62.145020957620687</c:v>
                </c:pt>
                <c:pt idx="19">
                  <c:v>62.145020957620687</c:v>
                </c:pt>
                <c:pt idx="20">
                  <c:v>62.145020957620687</c:v>
                </c:pt>
                <c:pt idx="21">
                  <c:v>49.069099326860858</c:v>
                </c:pt>
                <c:pt idx="22">
                  <c:v>35.045765844855275</c:v>
                </c:pt>
                <c:pt idx="23">
                  <c:v>54.089537297859003</c:v>
                </c:pt>
                <c:pt idx="24">
                  <c:v>62.145020957620687</c:v>
                </c:pt>
                <c:pt idx="25">
                  <c:v>62.145020957620687</c:v>
                </c:pt>
                <c:pt idx="26">
                  <c:v>58.297634420935076</c:v>
                </c:pt>
                <c:pt idx="27">
                  <c:v>52.009208182935076</c:v>
                </c:pt>
                <c:pt idx="28">
                  <c:v>34.695431029936955</c:v>
                </c:pt>
                <c:pt idx="29">
                  <c:v>31.637069029933219</c:v>
                </c:pt>
                <c:pt idx="30">
                  <c:v>21.495916996933222</c:v>
                </c:pt>
                <c:pt idx="31">
                  <c:v>25.910326049029329</c:v>
                </c:pt>
                <c:pt idx="32">
                  <c:v>25.910326049029329</c:v>
                </c:pt>
                <c:pt idx="33">
                  <c:v>25.910326049029329</c:v>
                </c:pt>
                <c:pt idx="34">
                  <c:v>25.910326049029329</c:v>
                </c:pt>
                <c:pt idx="35">
                  <c:v>15.12081097160717</c:v>
                </c:pt>
                <c:pt idx="36">
                  <c:v>19.39214861760717</c:v>
                </c:pt>
                <c:pt idx="37">
                  <c:v>25.910326049029329</c:v>
                </c:pt>
                <c:pt idx="38">
                  <c:v>25.910326049029329</c:v>
                </c:pt>
                <c:pt idx="39">
                  <c:v>25.910326049029329</c:v>
                </c:pt>
                <c:pt idx="40">
                  <c:v>25.910326049029329</c:v>
                </c:pt>
                <c:pt idx="41">
                  <c:v>25.910326049029329</c:v>
                </c:pt>
                <c:pt idx="42">
                  <c:v>13.606924256841332</c:v>
                </c:pt>
                <c:pt idx="43">
                  <c:v>5.4347649878450541</c:v>
                </c:pt>
                <c:pt idx="44">
                  <c:v>11.368316333841328</c:v>
                </c:pt>
                <c:pt idx="45">
                  <c:v>25.910326049029329</c:v>
                </c:pt>
                <c:pt idx="46">
                  <c:v>25.910326049029329</c:v>
                </c:pt>
                <c:pt idx="47">
                  <c:v>25.910326049029329</c:v>
                </c:pt>
                <c:pt idx="48">
                  <c:v>25.910326049029329</c:v>
                </c:pt>
                <c:pt idx="49">
                  <c:v>2.8838368070007419</c:v>
                </c:pt>
                <c:pt idx="50">
                  <c:v>2.773625599002604</c:v>
                </c:pt>
                <c:pt idx="51">
                  <c:v>2.6918520630007405</c:v>
                </c:pt>
                <c:pt idx="52">
                  <c:v>4.8173808750007447</c:v>
                </c:pt>
                <c:pt idx="53">
                  <c:v>25.910326049029329</c:v>
                </c:pt>
                <c:pt idx="54">
                  <c:v>14.895582087538802</c:v>
                </c:pt>
                <c:pt idx="55">
                  <c:v>13.942140612535077</c:v>
                </c:pt>
                <c:pt idx="56">
                  <c:v>8.5909319685369407</c:v>
                </c:pt>
                <c:pt idx="57">
                  <c:v>2.8758978345369397</c:v>
                </c:pt>
                <c:pt idx="58">
                  <c:v>19.15130785353508</c:v>
                </c:pt>
                <c:pt idx="59">
                  <c:v>16.346622300538801</c:v>
                </c:pt>
                <c:pt idx="60">
                  <c:v>24.35939520223344</c:v>
                </c:pt>
                <c:pt idx="61">
                  <c:v>3.2914033582334379</c:v>
                </c:pt>
                <c:pt idx="62">
                  <c:v>1.8560847702352985</c:v>
                </c:pt>
                <c:pt idx="63">
                  <c:v>3.1090699312334329</c:v>
                </c:pt>
                <c:pt idx="64">
                  <c:v>2.4807760832334314</c:v>
                </c:pt>
                <c:pt idx="65">
                  <c:v>3.27927523323716</c:v>
                </c:pt>
                <c:pt idx="66">
                  <c:v>3.0810359062334318</c:v>
                </c:pt>
                <c:pt idx="67">
                  <c:v>3.19426276293696</c:v>
                </c:pt>
                <c:pt idx="68">
                  <c:v>3.3697791099406897</c:v>
                </c:pt>
                <c:pt idx="69">
                  <c:v>3.9030743759388278</c:v>
                </c:pt>
                <c:pt idx="70">
                  <c:v>2.8245451479388213</c:v>
                </c:pt>
                <c:pt idx="71">
                  <c:v>3.2445350539369611</c:v>
                </c:pt>
                <c:pt idx="72">
                  <c:v>2.3591191749406861</c:v>
                </c:pt>
                <c:pt idx="73">
                  <c:v>6.1163461269388204</c:v>
                </c:pt>
                <c:pt idx="74">
                  <c:v>11.974662251003625</c:v>
                </c:pt>
                <c:pt idx="75">
                  <c:v>2.313891444005487</c:v>
                </c:pt>
                <c:pt idx="76">
                  <c:v>2.7889215240073537</c:v>
                </c:pt>
                <c:pt idx="77">
                  <c:v>3.6637183840073484</c:v>
                </c:pt>
                <c:pt idx="78">
                  <c:v>3.1426225090036239</c:v>
                </c:pt>
                <c:pt idx="79">
                  <c:v>2.7647522880036268</c:v>
                </c:pt>
                <c:pt idx="80">
                  <c:v>8.3475346870073484</c:v>
                </c:pt>
                <c:pt idx="81">
                  <c:v>13.457443864621782</c:v>
                </c:pt>
                <c:pt idx="82">
                  <c:v>15.363630405709555</c:v>
                </c:pt>
                <c:pt idx="83">
                  <c:v>13.587899395625515</c:v>
                </c:pt>
                <c:pt idx="84">
                  <c:v>3.139176939625504</c:v>
                </c:pt>
                <c:pt idx="85">
                  <c:v>3.6239849436255063</c:v>
                </c:pt>
                <c:pt idx="86">
                  <c:v>15.363630405709555</c:v>
                </c:pt>
                <c:pt idx="87">
                  <c:v>15.363630405709555</c:v>
                </c:pt>
                <c:pt idx="88">
                  <c:v>15.363630405709555</c:v>
                </c:pt>
                <c:pt idx="89">
                  <c:v>15.363630405709555</c:v>
                </c:pt>
                <c:pt idx="90">
                  <c:v>15.363630405709555</c:v>
                </c:pt>
                <c:pt idx="91">
                  <c:v>2.742251960849746</c:v>
                </c:pt>
                <c:pt idx="92">
                  <c:v>3.3861522168516096</c:v>
                </c:pt>
                <c:pt idx="93">
                  <c:v>3.4677666688497486</c:v>
                </c:pt>
                <c:pt idx="94">
                  <c:v>2.9788258928478828</c:v>
                </c:pt>
                <c:pt idx="95">
                  <c:v>13.350197940835489</c:v>
                </c:pt>
                <c:pt idx="96">
                  <c:v>19.885734840413747</c:v>
                </c:pt>
                <c:pt idx="97">
                  <c:v>19.885734840413747</c:v>
                </c:pt>
                <c:pt idx="98">
                  <c:v>19.885734840413747</c:v>
                </c:pt>
                <c:pt idx="99">
                  <c:v>19.885734840413747</c:v>
                </c:pt>
                <c:pt idx="100">
                  <c:v>19.885734840413747</c:v>
                </c:pt>
                <c:pt idx="101">
                  <c:v>19.885734840413747</c:v>
                </c:pt>
                <c:pt idx="102">
                  <c:v>19.885734840413747</c:v>
                </c:pt>
                <c:pt idx="103">
                  <c:v>19.885734840413747</c:v>
                </c:pt>
                <c:pt idx="104">
                  <c:v>19.226709610854318</c:v>
                </c:pt>
                <c:pt idx="105">
                  <c:v>10.20638647585618</c:v>
                </c:pt>
                <c:pt idx="106">
                  <c:v>4.7013636978543181</c:v>
                </c:pt>
                <c:pt idx="107">
                  <c:v>8.5534986828543182</c:v>
                </c:pt>
                <c:pt idx="108">
                  <c:v>9.7971874988580421</c:v>
                </c:pt>
                <c:pt idx="109">
                  <c:v>19.885734840413747</c:v>
                </c:pt>
                <c:pt idx="110">
                  <c:v>19.885734840413747</c:v>
                </c:pt>
                <c:pt idx="111">
                  <c:v>19.885734840413747</c:v>
                </c:pt>
                <c:pt idx="112">
                  <c:v>19.885734840413747</c:v>
                </c:pt>
                <c:pt idx="113">
                  <c:v>19.885734840413747</c:v>
                </c:pt>
                <c:pt idx="114">
                  <c:v>19.885734840413747</c:v>
                </c:pt>
                <c:pt idx="115">
                  <c:v>19.885734840413747</c:v>
                </c:pt>
                <c:pt idx="116">
                  <c:v>19.885734840413747</c:v>
                </c:pt>
                <c:pt idx="117">
                  <c:v>19.885734840413747</c:v>
                </c:pt>
                <c:pt idx="118">
                  <c:v>19.885734840413747</c:v>
                </c:pt>
                <c:pt idx="119">
                  <c:v>19.885734840413747</c:v>
                </c:pt>
                <c:pt idx="120">
                  <c:v>19.885734840413747</c:v>
                </c:pt>
                <c:pt idx="121">
                  <c:v>19.885734840413747</c:v>
                </c:pt>
                <c:pt idx="122">
                  <c:v>40.505689176644211</c:v>
                </c:pt>
                <c:pt idx="123">
                  <c:v>40.505689176644211</c:v>
                </c:pt>
                <c:pt idx="124">
                  <c:v>40.505689176644211</c:v>
                </c:pt>
                <c:pt idx="125">
                  <c:v>40.505689176644211</c:v>
                </c:pt>
                <c:pt idx="126">
                  <c:v>40.505689176644211</c:v>
                </c:pt>
                <c:pt idx="127">
                  <c:v>32.815466096617079</c:v>
                </c:pt>
                <c:pt idx="128">
                  <c:v>40.505689176644211</c:v>
                </c:pt>
                <c:pt idx="129">
                  <c:v>40.505689176644211</c:v>
                </c:pt>
                <c:pt idx="130">
                  <c:v>40.505689176644211</c:v>
                </c:pt>
                <c:pt idx="131">
                  <c:v>40.505689176644211</c:v>
                </c:pt>
                <c:pt idx="132">
                  <c:v>40.505689176644211</c:v>
                </c:pt>
                <c:pt idx="133">
                  <c:v>40.505689176644211</c:v>
                </c:pt>
                <c:pt idx="134">
                  <c:v>40.505689176644211</c:v>
                </c:pt>
                <c:pt idx="135">
                  <c:v>40.505689176644211</c:v>
                </c:pt>
                <c:pt idx="136">
                  <c:v>40.505689176644211</c:v>
                </c:pt>
                <c:pt idx="137">
                  <c:v>40.505689176644211</c:v>
                </c:pt>
                <c:pt idx="138">
                  <c:v>40.505689176644211</c:v>
                </c:pt>
                <c:pt idx="139">
                  <c:v>40.505689176644211</c:v>
                </c:pt>
                <c:pt idx="140">
                  <c:v>40.505689176644211</c:v>
                </c:pt>
                <c:pt idx="141">
                  <c:v>40.505689176644211</c:v>
                </c:pt>
                <c:pt idx="142">
                  <c:v>40.505689176644211</c:v>
                </c:pt>
                <c:pt idx="143">
                  <c:v>40.505689176644211</c:v>
                </c:pt>
                <c:pt idx="144">
                  <c:v>40.505689176644211</c:v>
                </c:pt>
                <c:pt idx="145">
                  <c:v>40.505689176644211</c:v>
                </c:pt>
                <c:pt idx="146">
                  <c:v>40.505689176644211</c:v>
                </c:pt>
                <c:pt idx="147">
                  <c:v>40.505689176644211</c:v>
                </c:pt>
                <c:pt idx="148">
                  <c:v>40.505689176644211</c:v>
                </c:pt>
                <c:pt idx="149">
                  <c:v>40.505689176644211</c:v>
                </c:pt>
                <c:pt idx="150">
                  <c:v>40.505689176644211</c:v>
                </c:pt>
                <c:pt idx="151">
                  <c:v>40.505689176644211</c:v>
                </c:pt>
                <c:pt idx="152">
                  <c:v>40.505689176644211</c:v>
                </c:pt>
                <c:pt idx="153">
                  <c:v>82.040549235563063</c:v>
                </c:pt>
                <c:pt idx="154">
                  <c:v>82.040549235563063</c:v>
                </c:pt>
                <c:pt idx="155">
                  <c:v>82.040549235563063</c:v>
                </c:pt>
                <c:pt idx="156">
                  <c:v>82.040549235563063</c:v>
                </c:pt>
                <c:pt idx="157">
                  <c:v>82.040549235563063</c:v>
                </c:pt>
                <c:pt idx="158">
                  <c:v>82.040549235563063</c:v>
                </c:pt>
                <c:pt idx="159">
                  <c:v>82.040549235563063</c:v>
                </c:pt>
                <c:pt idx="160">
                  <c:v>82.040549235563063</c:v>
                </c:pt>
                <c:pt idx="161">
                  <c:v>68.990421255031706</c:v>
                </c:pt>
                <c:pt idx="162">
                  <c:v>48.830029151029841</c:v>
                </c:pt>
                <c:pt idx="163">
                  <c:v>48.744043399035434</c:v>
                </c:pt>
                <c:pt idx="164">
                  <c:v>40.111187227031714</c:v>
                </c:pt>
                <c:pt idx="165">
                  <c:v>68.92554444516648</c:v>
                </c:pt>
                <c:pt idx="166">
                  <c:v>75.349298657168347</c:v>
                </c:pt>
                <c:pt idx="167">
                  <c:v>68.27269855316834</c:v>
                </c:pt>
                <c:pt idx="168">
                  <c:v>58.901813425168335</c:v>
                </c:pt>
                <c:pt idx="169">
                  <c:v>58.648718901168337</c:v>
                </c:pt>
                <c:pt idx="170">
                  <c:v>72.756647989168343</c:v>
                </c:pt>
                <c:pt idx="171">
                  <c:v>61.97943983716835</c:v>
                </c:pt>
                <c:pt idx="172">
                  <c:v>57.658339443207119</c:v>
                </c:pt>
                <c:pt idx="173">
                  <c:v>54.582812007208979</c:v>
                </c:pt>
                <c:pt idx="174">
                  <c:v>77.586020579208977</c:v>
                </c:pt>
                <c:pt idx="175">
                  <c:v>44.323642247205257</c:v>
                </c:pt>
                <c:pt idx="176">
                  <c:v>44.593260563208986</c:v>
                </c:pt>
                <c:pt idx="177">
                  <c:v>66.958570435208983</c:v>
                </c:pt>
                <c:pt idx="178">
                  <c:v>82.040549235563063</c:v>
                </c:pt>
                <c:pt idx="179">
                  <c:v>82.040549235563063</c:v>
                </c:pt>
                <c:pt idx="180">
                  <c:v>82.040549235563063</c:v>
                </c:pt>
                <c:pt idx="181">
                  <c:v>82.040549235563063</c:v>
                </c:pt>
                <c:pt idx="182">
                  <c:v>75.625630506946678</c:v>
                </c:pt>
                <c:pt idx="183">
                  <c:v>83.340873374948544</c:v>
                </c:pt>
                <c:pt idx="184">
                  <c:v>89.493504218946683</c:v>
                </c:pt>
                <c:pt idx="185">
                  <c:v>85.292821534948544</c:v>
                </c:pt>
                <c:pt idx="186">
                  <c:v>79.073749727937155</c:v>
                </c:pt>
                <c:pt idx="187">
                  <c:v>78.918242007935291</c:v>
                </c:pt>
                <c:pt idx="188">
                  <c:v>64.075719263935298</c:v>
                </c:pt>
                <c:pt idx="189">
                  <c:v>40.149759339937155</c:v>
                </c:pt>
                <c:pt idx="190">
                  <c:v>38.793037971937153</c:v>
                </c:pt>
                <c:pt idx="191">
                  <c:v>63.311381991937154</c:v>
                </c:pt>
                <c:pt idx="192">
                  <c:v>102.48415081593529</c:v>
                </c:pt>
                <c:pt idx="193">
                  <c:v>104.34579689704225</c:v>
                </c:pt>
                <c:pt idx="194">
                  <c:v>104.34579689704225</c:v>
                </c:pt>
                <c:pt idx="195">
                  <c:v>104.34579689704225</c:v>
                </c:pt>
                <c:pt idx="196">
                  <c:v>80.217872350431335</c:v>
                </c:pt>
                <c:pt idx="197">
                  <c:v>39.711118074433195</c:v>
                </c:pt>
                <c:pt idx="198">
                  <c:v>64.083001914433197</c:v>
                </c:pt>
                <c:pt idx="199">
                  <c:v>70.465533982431324</c:v>
                </c:pt>
                <c:pt idx="200">
                  <c:v>92.589848698818443</c:v>
                </c:pt>
                <c:pt idx="201">
                  <c:v>75.700622666816571</c:v>
                </c:pt>
                <c:pt idx="202">
                  <c:v>92.443503002818446</c:v>
                </c:pt>
                <c:pt idx="203">
                  <c:v>78.194941970816586</c:v>
                </c:pt>
                <c:pt idx="204">
                  <c:v>61.788172530818443</c:v>
                </c:pt>
                <c:pt idx="205">
                  <c:v>57.373573711818437</c:v>
                </c:pt>
                <c:pt idx="206">
                  <c:v>52.435381449816582</c:v>
                </c:pt>
                <c:pt idx="207">
                  <c:v>61.070524667621214</c:v>
                </c:pt>
                <c:pt idx="208">
                  <c:v>89.444197123621208</c:v>
                </c:pt>
                <c:pt idx="209">
                  <c:v>90.757717751621215</c:v>
                </c:pt>
                <c:pt idx="210">
                  <c:v>93.634406132621208</c:v>
                </c:pt>
                <c:pt idx="211">
                  <c:v>85.876438035621206</c:v>
                </c:pt>
                <c:pt idx="212">
                  <c:v>98.537026639621203</c:v>
                </c:pt>
                <c:pt idx="213">
                  <c:v>93.20605021562308</c:v>
                </c:pt>
                <c:pt idx="214">
                  <c:v>53.986044277254123</c:v>
                </c:pt>
                <c:pt idx="215">
                  <c:v>69.503196627254113</c:v>
                </c:pt>
                <c:pt idx="216">
                  <c:v>66.45143115325412</c:v>
                </c:pt>
                <c:pt idx="217">
                  <c:v>75.53262317825785</c:v>
                </c:pt>
                <c:pt idx="218">
                  <c:v>41.699737590254124</c:v>
                </c:pt>
                <c:pt idx="219">
                  <c:v>49.457396382254124</c:v>
                </c:pt>
                <c:pt idx="220">
                  <c:v>67.336947990255979</c:v>
                </c:pt>
                <c:pt idx="221">
                  <c:v>119.24912559323448</c:v>
                </c:pt>
                <c:pt idx="222">
                  <c:v>119.24912559323448</c:v>
                </c:pt>
                <c:pt idx="223">
                  <c:v>119.24912559323448</c:v>
                </c:pt>
                <c:pt idx="224">
                  <c:v>119.24912559323448</c:v>
                </c:pt>
                <c:pt idx="225">
                  <c:v>111.62172161635669</c:v>
                </c:pt>
                <c:pt idx="226">
                  <c:v>119.24912559323448</c:v>
                </c:pt>
                <c:pt idx="227">
                  <c:v>119.24912559323448</c:v>
                </c:pt>
                <c:pt idx="228">
                  <c:v>102.51417813263284</c:v>
                </c:pt>
                <c:pt idx="229">
                  <c:v>105.57352440863284</c:v>
                </c:pt>
                <c:pt idx="230">
                  <c:v>110.19689328463282</c:v>
                </c:pt>
                <c:pt idx="231">
                  <c:v>105.46647364463281</c:v>
                </c:pt>
                <c:pt idx="232">
                  <c:v>91.843949272630965</c:v>
                </c:pt>
                <c:pt idx="233">
                  <c:v>106.80647157663282</c:v>
                </c:pt>
                <c:pt idx="234">
                  <c:v>91.954721448634686</c:v>
                </c:pt>
                <c:pt idx="235">
                  <c:v>119.24912559323448</c:v>
                </c:pt>
                <c:pt idx="236">
                  <c:v>119.24912559323448</c:v>
                </c:pt>
                <c:pt idx="237">
                  <c:v>119.24912559323448</c:v>
                </c:pt>
                <c:pt idx="238">
                  <c:v>119.24912559323448</c:v>
                </c:pt>
                <c:pt idx="239">
                  <c:v>119.24912559323448</c:v>
                </c:pt>
                <c:pt idx="240">
                  <c:v>119.24912559323448</c:v>
                </c:pt>
                <c:pt idx="241">
                  <c:v>119.24912559323448</c:v>
                </c:pt>
                <c:pt idx="242">
                  <c:v>119.24912559323448</c:v>
                </c:pt>
                <c:pt idx="243">
                  <c:v>119.24912559323448</c:v>
                </c:pt>
                <c:pt idx="244">
                  <c:v>119.24912559323448</c:v>
                </c:pt>
                <c:pt idx="245">
                  <c:v>124.45770390135006</c:v>
                </c:pt>
                <c:pt idx="246">
                  <c:v>124.45770390135006</c:v>
                </c:pt>
                <c:pt idx="247">
                  <c:v>124.45770390135006</c:v>
                </c:pt>
                <c:pt idx="248">
                  <c:v>124.45770390135006</c:v>
                </c:pt>
                <c:pt idx="249">
                  <c:v>124.45770390135006</c:v>
                </c:pt>
                <c:pt idx="250">
                  <c:v>124.45770390135006</c:v>
                </c:pt>
                <c:pt idx="251">
                  <c:v>124.45770390135006</c:v>
                </c:pt>
                <c:pt idx="252">
                  <c:v>124.45770390135006</c:v>
                </c:pt>
                <c:pt idx="253">
                  <c:v>124.45770390135006</c:v>
                </c:pt>
                <c:pt idx="254">
                  <c:v>124.45770390135006</c:v>
                </c:pt>
                <c:pt idx="255">
                  <c:v>124.45770390135006</c:v>
                </c:pt>
                <c:pt idx="256">
                  <c:v>124.45770390135006</c:v>
                </c:pt>
                <c:pt idx="257">
                  <c:v>124.45770390135006</c:v>
                </c:pt>
                <c:pt idx="258">
                  <c:v>124.45770390135006</c:v>
                </c:pt>
                <c:pt idx="259">
                  <c:v>124.45770390135006</c:v>
                </c:pt>
                <c:pt idx="260">
                  <c:v>124.45770390135006</c:v>
                </c:pt>
                <c:pt idx="261">
                  <c:v>124.45770390135006</c:v>
                </c:pt>
                <c:pt idx="262">
                  <c:v>124.45770390135006</c:v>
                </c:pt>
                <c:pt idx="263">
                  <c:v>124.45770390135006</c:v>
                </c:pt>
                <c:pt idx="264">
                  <c:v>121.78426129771444</c:v>
                </c:pt>
                <c:pt idx="265">
                  <c:v>87.426524705710705</c:v>
                </c:pt>
                <c:pt idx="266">
                  <c:v>114.18082720971816</c:v>
                </c:pt>
                <c:pt idx="267">
                  <c:v>83.044860149710715</c:v>
                </c:pt>
                <c:pt idx="268">
                  <c:v>99.154974373714424</c:v>
                </c:pt>
                <c:pt idx="269">
                  <c:v>110.72487132571072</c:v>
                </c:pt>
                <c:pt idx="270">
                  <c:v>124.40638517880809</c:v>
                </c:pt>
                <c:pt idx="271">
                  <c:v>124.45770390135006</c:v>
                </c:pt>
                <c:pt idx="272">
                  <c:v>124.45770390135006</c:v>
                </c:pt>
                <c:pt idx="273">
                  <c:v>80.165669062808078</c:v>
                </c:pt>
                <c:pt idx="274">
                  <c:v>73.145512046808079</c:v>
                </c:pt>
                <c:pt idx="275">
                  <c:v>121.25406093080623</c:v>
                </c:pt>
                <c:pt idx="276">
                  <c:v>119.62993390280809</c:v>
                </c:pt>
                <c:pt idx="277">
                  <c:v>129.67177197597073</c:v>
                </c:pt>
                <c:pt idx="278">
                  <c:v>129.67177197597073</c:v>
                </c:pt>
                <c:pt idx="279">
                  <c:v>129.67177197597073</c:v>
                </c:pt>
                <c:pt idx="280">
                  <c:v>125.69828429223841</c:v>
                </c:pt>
                <c:pt idx="281">
                  <c:v>129.67177197597073</c:v>
                </c:pt>
                <c:pt idx="282">
                  <c:v>129.67177197597073</c:v>
                </c:pt>
                <c:pt idx="283">
                  <c:v>129.67177197597073</c:v>
                </c:pt>
                <c:pt idx="284">
                  <c:v>129.67177197597073</c:v>
                </c:pt>
                <c:pt idx="285">
                  <c:v>129.67177197597073</c:v>
                </c:pt>
                <c:pt idx="286">
                  <c:v>129.67177197597073</c:v>
                </c:pt>
                <c:pt idx="287">
                  <c:v>129.67177197597073</c:v>
                </c:pt>
                <c:pt idx="288">
                  <c:v>129.67177197597073</c:v>
                </c:pt>
                <c:pt idx="289">
                  <c:v>129.67177197597073</c:v>
                </c:pt>
                <c:pt idx="290">
                  <c:v>129.67177197597073</c:v>
                </c:pt>
                <c:pt idx="291">
                  <c:v>129.67177197597073</c:v>
                </c:pt>
                <c:pt idx="292">
                  <c:v>129.67177197597073</c:v>
                </c:pt>
                <c:pt idx="293">
                  <c:v>129.67177197597073</c:v>
                </c:pt>
                <c:pt idx="294">
                  <c:v>129.67177197597073</c:v>
                </c:pt>
                <c:pt idx="295">
                  <c:v>129.67177197597073</c:v>
                </c:pt>
                <c:pt idx="296">
                  <c:v>129.67177197597073</c:v>
                </c:pt>
                <c:pt idx="297">
                  <c:v>129.67177197597073</c:v>
                </c:pt>
                <c:pt idx="298">
                  <c:v>129.67177197597073</c:v>
                </c:pt>
                <c:pt idx="299">
                  <c:v>129.67177197597073</c:v>
                </c:pt>
                <c:pt idx="300">
                  <c:v>129.67177197597073</c:v>
                </c:pt>
                <c:pt idx="301">
                  <c:v>129.67177197597073</c:v>
                </c:pt>
                <c:pt idx="302">
                  <c:v>129.67177197597073</c:v>
                </c:pt>
                <c:pt idx="303">
                  <c:v>129.67177197597073</c:v>
                </c:pt>
                <c:pt idx="304">
                  <c:v>123.24737037204483</c:v>
                </c:pt>
                <c:pt idx="305">
                  <c:v>123.24737037204483</c:v>
                </c:pt>
                <c:pt idx="306">
                  <c:v>123.24737037204483</c:v>
                </c:pt>
                <c:pt idx="307">
                  <c:v>123.24737037204483</c:v>
                </c:pt>
                <c:pt idx="308">
                  <c:v>123.24737037204483</c:v>
                </c:pt>
                <c:pt idx="309">
                  <c:v>123.24737037204483</c:v>
                </c:pt>
                <c:pt idx="310">
                  <c:v>123.24737037204483</c:v>
                </c:pt>
                <c:pt idx="311">
                  <c:v>123.24737037204483</c:v>
                </c:pt>
                <c:pt idx="312">
                  <c:v>123.24737037204483</c:v>
                </c:pt>
                <c:pt idx="313">
                  <c:v>123.24737037204483</c:v>
                </c:pt>
                <c:pt idx="314">
                  <c:v>123.24737037204483</c:v>
                </c:pt>
                <c:pt idx="315">
                  <c:v>123.24737037204483</c:v>
                </c:pt>
                <c:pt idx="316">
                  <c:v>123.24737037204483</c:v>
                </c:pt>
                <c:pt idx="317">
                  <c:v>123.24737037204483</c:v>
                </c:pt>
                <c:pt idx="318">
                  <c:v>123.24737037204483</c:v>
                </c:pt>
                <c:pt idx="319">
                  <c:v>123.24737037204483</c:v>
                </c:pt>
                <c:pt idx="320">
                  <c:v>123.24737037204483</c:v>
                </c:pt>
                <c:pt idx="321">
                  <c:v>123.24737037204483</c:v>
                </c:pt>
                <c:pt idx="322">
                  <c:v>123.24737037204483</c:v>
                </c:pt>
                <c:pt idx="323">
                  <c:v>123.24737037204483</c:v>
                </c:pt>
                <c:pt idx="324">
                  <c:v>123.24737037204483</c:v>
                </c:pt>
                <c:pt idx="325">
                  <c:v>123.24737037204483</c:v>
                </c:pt>
                <c:pt idx="326">
                  <c:v>123.24737037204483</c:v>
                </c:pt>
                <c:pt idx="327">
                  <c:v>123.24737037204483</c:v>
                </c:pt>
                <c:pt idx="328">
                  <c:v>123.24737037204483</c:v>
                </c:pt>
                <c:pt idx="329">
                  <c:v>123.24737037204483</c:v>
                </c:pt>
                <c:pt idx="330">
                  <c:v>123.24737037204483</c:v>
                </c:pt>
                <c:pt idx="331">
                  <c:v>123.24737037204483</c:v>
                </c:pt>
                <c:pt idx="332">
                  <c:v>123.24737037204483</c:v>
                </c:pt>
                <c:pt idx="333">
                  <c:v>123.24737037204483</c:v>
                </c:pt>
                <c:pt idx="334">
                  <c:v>94.081084096418962</c:v>
                </c:pt>
                <c:pt idx="335">
                  <c:v>94.081084096418962</c:v>
                </c:pt>
                <c:pt idx="336">
                  <c:v>94.081084096418962</c:v>
                </c:pt>
                <c:pt idx="337">
                  <c:v>94.081084096418962</c:v>
                </c:pt>
                <c:pt idx="338">
                  <c:v>94.081084096418962</c:v>
                </c:pt>
                <c:pt idx="339">
                  <c:v>94.081084096418962</c:v>
                </c:pt>
                <c:pt idx="340">
                  <c:v>94.081084096418962</c:v>
                </c:pt>
                <c:pt idx="341">
                  <c:v>94.081084096418962</c:v>
                </c:pt>
                <c:pt idx="342">
                  <c:v>94.081084096418962</c:v>
                </c:pt>
                <c:pt idx="343">
                  <c:v>94.081084096418962</c:v>
                </c:pt>
                <c:pt idx="344">
                  <c:v>94.081084096418962</c:v>
                </c:pt>
                <c:pt idx="345">
                  <c:v>94.081084096418962</c:v>
                </c:pt>
                <c:pt idx="346">
                  <c:v>94.081084096418962</c:v>
                </c:pt>
                <c:pt idx="347">
                  <c:v>94.081084096418962</c:v>
                </c:pt>
                <c:pt idx="348">
                  <c:v>94.081084096418962</c:v>
                </c:pt>
                <c:pt idx="349">
                  <c:v>94.081084096418962</c:v>
                </c:pt>
                <c:pt idx="350">
                  <c:v>94.081084096418962</c:v>
                </c:pt>
                <c:pt idx="351">
                  <c:v>94.081084096418962</c:v>
                </c:pt>
                <c:pt idx="352">
                  <c:v>94.081084096418962</c:v>
                </c:pt>
                <c:pt idx="353">
                  <c:v>94.081084096418962</c:v>
                </c:pt>
                <c:pt idx="354">
                  <c:v>94.081084096418962</c:v>
                </c:pt>
                <c:pt idx="355">
                  <c:v>94.081084096418962</c:v>
                </c:pt>
                <c:pt idx="356">
                  <c:v>94.081084096418962</c:v>
                </c:pt>
                <c:pt idx="357">
                  <c:v>94.081084096418962</c:v>
                </c:pt>
                <c:pt idx="358">
                  <c:v>89.845397242023637</c:v>
                </c:pt>
                <c:pt idx="359">
                  <c:v>94.081084096418962</c:v>
                </c:pt>
                <c:pt idx="360">
                  <c:v>94.081084096418962</c:v>
                </c:pt>
                <c:pt idx="361">
                  <c:v>85.485480380966536</c:v>
                </c:pt>
                <c:pt idx="362">
                  <c:v>83.162198856966526</c:v>
                </c:pt>
                <c:pt idx="363">
                  <c:v>81.449369692968389</c:v>
                </c:pt>
                <c:pt idx="364">
                  <c:v>67.543307356966523</c:v>
                </c:pt>
                <c:pt idx="365">
                  <c:v>58.584965992964676</c:v>
                </c:pt>
                <c:pt idx="366">
                  <c:v>61.406867513274626</c:v>
                </c:pt>
                <c:pt idx="367">
                  <c:v>61.406867513274626</c:v>
                </c:pt>
                <c:pt idx="368">
                  <c:v>61.406867513274626</c:v>
                </c:pt>
                <c:pt idx="369">
                  <c:v>61.406867513274626</c:v>
                </c:pt>
                <c:pt idx="370">
                  <c:v>61.406867513274626</c:v>
                </c:pt>
                <c:pt idx="371">
                  <c:v>59.671351156917879</c:v>
                </c:pt>
                <c:pt idx="372">
                  <c:v>45.392203304921601</c:v>
                </c:pt>
                <c:pt idx="373">
                  <c:v>61.406867513274626</c:v>
                </c:pt>
                <c:pt idx="374">
                  <c:v>61.406867513274626</c:v>
                </c:pt>
                <c:pt idx="375">
                  <c:v>57.290058085395692</c:v>
                </c:pt>
                <c:pt idx="376">
                  <c:v>55.354960405397549</c:v>
                </c:pt>
                <c:pt idx="377">
                  <c:v>57.648457809397556</c:v>
                </c:pt>
                <c:pt idx="378">
                  <c:v>35.976587393397551</c:v>
                </c:pt>
                <c:pt idx="379">
                  <c:v>27.093917057395686</c:v>
                </c:pt>
                <c:pt idx="380">
                  <c:v>41.648771953399418</c:v>
                </c:pt>
                <c:pt idx="381">
                  <c:v>61.406867513274626</c:v>
                </c:pt>
                <c:pt idx="382">
                  <c:v>54.810603226402399</c:v>
                </c:pt>
                <c:pt idx="383">
                  <c:v>56.724506154402391</c:v>
                </c:pt>
                <c:pt idx="384">
                  <c:v>50.758680274402401</c:v>
                </c:pt>
                <c:pt idx="385">
                  <c:v>27.241844526407977</c:v>
                </c:pt>
                <c:pt idx="386">
                  <c:v>15.417510526402395</c:v>
                </c:pt>
                <c:pt idx="387">
                  <c:v>33.067196998404263</c:v>
                </c:pt>
                <c:pt idx="388">
                  <c:v>31.891179734404258</c:v>
                </c:pt>
                <c:pt idx="389">
                  <c:v>36.028818452584453</c:v>
                </c:pt>
                <c:pt idx="390">
                  <c:v>34.198682324582592</c:v>
                </c:pt>
                <c:pt idx="391">
                  <c:v>46.57227909658446</c:v>
                </c:pt>
                <c:pt idx="392">
                  <c:v>25.679008728584463</c:v>
                </c:pt>
                <c:pt idx="393">
                  <c:v>21.31743945258259</c:v>
                </c:pt>
                <c:pt idx="394">
                  <c:v>52.807168008584455</c:v>
                </c:pt>
                <c:pt idx="395">
                  <c:v>25.377234765527756</c:v>
                </c:pt>
                <c:pt idx="396">
                  <c:v>25.377234765527756</c:v>
                </c:pt>
                <c:pt idx="397">
                  <c:v>25.377234765527756</c:v>
                </c:pt>
                <c:pt idx="398">
                  <c:v>25.377234765527756</c:v>
                </c:pt>
                <c:pt idx="399">
                  <c:v>13.132768220543548</c:v>
                </c:pt>
                <c:pt idx="400">
                  <c:v>0.74587613655099994</c:v>
                </c:pt>
                <c:pt idx="401">
                  <c:v>0.87838982854913772</c:v>
                </c:pt>
                <c:pt idx="402">
                  <c:v>1.2669650485472739</c:v>
                </c:pt>
                <c:pt idx="403">
                  <c:v>12.98326255205537</c:v>
                </c:pt>
                <c:pt idx="404">
                  <c:v>25.377234765527756</c:v>
                </c:pt>
                <c:pt idx="405">
                  <c:v>25.377234765527756</c:v>
                </c:pt>
                <c:pt idx="406">
                  <c:v>19.045507852053504</c:v>
                </c:pt>
                <c:pt idx="407">
                  <c:v>5.264734244057232</c:v>
                </c:pt>
                <c:pt idx="408">
                  <c:v>14.93768034805351</c:v>
                </c:pt>
                <c:pt idx="409">
                  <c:v>15.42803286805351</c:v>
                </c:pt>
                <c:pt idx="410">
                  <c:v>21.208092095159067</c:v>
                </c:pt>
                <c:pt idx="411">
                  <c:v>18.507020759159058</c:v>
                </c:pt>
                <c:pt idx="412">
                  <c:v>24.003231111160929</c:v>
                </c:pt>
                <c:pt idx="413">
                  <c:v>1.3460224671609249</c:v>
                </c:pt>
                <c:pt idx="414">
                  <c:v>1.3005218071572018</c:v>
                </c:pt>
                <c:pt idx="415">
                  <c:v>8.9830380631609295</c:v>
                </c:pt>
                <c:pt idx="416">
                  <c:v>21.327931907159066</c:v>
                </c:pt>
                <c:pt idx="417">
                  <c:v>19.698397277743307</c:v>
                </c:pt>
                <c:pt idx="418">
                  <c:v>19.402645057741445</c:v>
                </c:pt>
                <c:pt idx="419">
                  <c:v>1.1036778417451643</c:v>
                </c:pt>
                <c:pt idx="420">
                  <c:v>0.99300742174330658</c:v>
                </c:pt>
                <c:pt idx="421">
                  <c:v>0.52868170974330131</c:v>
                </c:pt>
                <c:pt idx="422">
                  <c:v>0.87120617374702847</c:v>
                </c:pt>
                <c:pt idx="423">
                  <c:v>1.9895497937414401</c:v>
                </c:pt>
                <c:pt idx="424">
                  <c:v>13.957132501467727</c:v>
                </c:pt>
                <c:pt idx="425">
                  <c:v>17.234185620462142</c:v>
                </c:pt>
                <c:pt idx="426">
                  <c:v>12.194764484471452</c:v>
                </c:pt>
                <c:pt idx="427">
                  <c:v>1.3938801114658637</c:v>
                </c:pt>
                <c:pt idx="428">
                  <c:v>1.4602158054640022</c:v>
                </c:pt>
                <c:pt idx="429">
                  <c:v>14.606396891514056</c:v>
                </c:pt>
                <c:pt idx="430">
                  <c:v>14.606396891514056</c:v>
                </c:pt>
                <c:pt idx="431">
                  <c:v>13.157603789703018</c:v>
                </c:pt>
                <c:pt idx="432">
                  <c:v>8.2091536297085987</c:v>
                </c:pt>
                <c:pt idx="433">
                  <c:v>14.150909509703022</c:v>
                </c:pt>
                <c:pt idx="434">
                  <c:v>0.62003202171046723</c:v>
                </c:pt>
                <c:pt idx="435">
                  <c:v>0.58029145370487822</c:v>
                </c:pt>
                <c:pt idx="436">
                  <c:v>7.944978201703023</c:v>
                </c:pt>
                <c:pt idx="437">
                  <c:v>9.3381222057085971</c:v>
                </c:pt>
                <c:pt idx="438">
                  <c:v>11.9204894591607</c:v>
                </c:pt>
                <c:pt idx="439">
                  <c:v>4.2943351511588403</c:v>
                </c:pt>
                <c:pt idx="440">
                  <c:v>1.2630359191607059</c:v>
                </c:pt>
                <c:pt idx="441">
                  <c:v>0.5145405361607045</c:v>
                </c:pt>
                <c:pt idx="442">
                  <c:v>1.0636899021625723</c:v>
                </c:pt>
                <c:pt idx="443">
                  <c:v>2.2906401991607126</c:v>
                </c:pt>
                <c:pt idx="444">
                  <c:v>0.55340952715698222</c:v>
                </c:pt>
                <c:pt idx="445">
                  <c:v>8.1066654437322221</c:v>
                </c:pt>
                <c:pt idx="446">
                  <c:v>8.834458943735946</c:v>
                </c:pt>
                <c:pt idx="447">
                  <c:v>10.591494696732218</c:v>
                </c:pt>
                <c:pt idx="448">
                  <c:v>14.606396891514056</c:v>
                </c:pt>
                <c:pt idx="449">
                  <c:v>13.983708154734085</c:v>
                </c:pt>
                <c:pt idx="450">
                  <c:v>9.0344177397322198</c:v>
                </c:pt>
                <c:pt idx="451">
                  <c:v>9.2639256127322156</c:v>
                </c:pt>
                <c:pt idx="452">
                  <c:v>14.606396891514056</c:v>
                </c:pt>
                <c:pt idx="453">
                  <c:v>2.2423037120769442</c:v>
                </c:pt>
                <c:pt idx="454">
                  <c:v>2.3390195480750844</c:v>
                </c:pt>
                <c:pt idx="455">
                  <c:v>4.3992242260732164</c:v>
                </c:pt>
                <c:pt idx="456">
                  <c:v>6.5272750440769451</c:v>
                </c:pt>
                <c:pt idx="457">
                  <c:v>1.2817477090750835</c:v>
                </c:pt>
                <c:pt idx="458">
                  <c:v>1.6173166890750799</c:v>
                </c:pt>
                <c:pt idx="459">
                  <c:v>2.1154391071034699</c:v>
                </c:pt>
                <c:pt idx="460">
                  <c:v>19.321785347101613</c:v>
                </c:pt>
                <c:pt idx="461">
                  <c:v>20.096931654918169</c:v>
                </c:pt>
                <c:pt idx="462">
                  <c:v>7.2915253381034706</c:v>
                </c:pt>
                <c:pt idx="463">
                  <c:v>14.543756771103471</c:v>
                </c:pt>
                <c:pt idx="464">
                  <c:v>20.096931654918169</c:v>
                </c:pt>
                <c:pt idx="465">
                  <c:v>20.096931654918169</c:v>
                </c:pt>
                <c:pt idx="466">
                  <c:v>13.092552855678653</c:v>
                </c:pt>
                <c:pt idx="467">
                  <c:v>15.365002231673069</c:v>
                </c:pt>
                <c:pt idx="468">
                  <c:v>20.096931654918169</c:v>
                </c:pt>
                <c:pt idx="469">
                  <c:v>20.096931654918169</c:v>
                </c:pt>
                <c:pt idx="470">
                  <c:v>13.576204775674931</c:v>
                </c:pt>
                <c:pt idx="471">
                  <c:v>18.451686891676793</c:v>
                </c:pt>
                <c:pt idx="472">
                  <c:v>19.344326808674932</c:v>
                </c:pt>
                <c:pt idx="473">
                  <c:v>14.745610182199655</c:v>
                </c:pt>
                <c:pt idx="474">
                  <c:v>10.083807815199659</c:v>
                </c:pt>
                <c:pt idx="475">
                  <c:v>6.9708534591977953</c:v>
                </c:pt>
                <c:pt idx="476">
                  <c:v>7.4601010751977954</c:v>
                </c:pt>
                <c:pt idx="477">
                  <c:v>0.88863244720152212</c:v>
                </c:pt>
                <c:pt idx="478">
                  <c:v>0.95296703919779979</c:v>
                </c:pt>
                <c:pt idx="479">
                  <c:v>1.107356255201521</c:v>
                </c:pt>
                <c:pt idx="480">
                  <c:v>12.261610709065398</c:v>
                </c:pt>
                <c:pt idx="481">
                  <c:v>20.096931654918169</c:v>
                </c:pt>
                <c:pt idx="482">
                  <c:v>20.096931654918169</c:v>
                </c:pt>
                <c:pt idx="483">
                  <c:v>20.096931654918169</c:v>
                </c:pt>
                <c:pt idx="484">
                  <c:v>6.0124908290653982</c:v>
                </c:pt>
                <c:pt idx="485">
                  <c:v>18.017315821067257</c:v>
                </c:pt>
                <c:pt idx="486">
                  <c:v>20.096931654918169</c:v>
                </c:pt>
                <c:pt idx="487">
                  <c:v>27.746204055655411</c:v>
                </c:pt>
                <c:pt idx="488">
                  <c:v>20.303725238655417</c:v>
                </c:pt>
                <c:pt idx="489">
                  <c:v>20.529555674659132</c:v>
                </c:pt>
                <c:pt idx="490">
                  <c:v>14.251119198657275</c:v>
                </c:pt>
                <c:pt idx="491">
                  <c:v>0.9801497546572755</c:v>
                </c:pt>
                <c:pt idx="492">
                  <c:v>27.898072389659138</c:v>
                </c:pt>
                <c:pt idx="493">
                  <c:v>33.149552794655406</c:v>
                </c:pt>
                <c:pt idx="494">
                  <c:v>35.469150293980334</c:v>
                </c:pt>
                <c:pt idx="495">
                  <c:v>8.9310006469803263</c:v>
                </c:pt>
                <c:pt idx="496">
                  <c:v>6.7232391649821874</c:v>
                </c:pt>
                <c:pt idx="497">
                  <c:v>0.8445232579803269</c:v>
                </c:pt>
                <c:pt idx="498">
                  <c:v>0.94240763797846738</c:v>
                </c:pt>
                <c:pt idx="499">
                  <c:v>20.542116733982184</c:v>
                </c:pt>
                <c:pt idx="500">
                  <c:v>24.89823804697847</c:v>
                </c:pt>
                <c:pt idx="501">
                  <c:v>21.393126561020022</c:v>
                </c:pt>
                <c:pt idx="502">
                  <c:v>14.410976650018158</c:v>
                </c:pt>
                <c:pt idx="503">
                  <c:v>10.265706714020023</c:v>
                </c:pt>
                <c:pt idx="504">
                  <c:v>12.446014266016297</c:v>
                </c:pt>
                <c:pt idx="505">
                  <c:v>1.1078882780200183</c:v>
                </c:pt>
                <c:pt idx="506">
                  <c:v>0.65396796601815732</c:v>
                </c:pt>
                <c:pt idx="507">
                  <c:v>1.5265814540200227</c:v>
                </c:pt>
                <c:pt idx="508">
                  <c:v>5.4675888744298424</c:v>
                </c:pt>
                <c:pt idx="509">
                  <c:v>1.0800620864317025</c:v>
                </c:pt>
                <c:pt idx="510">
                  <c:v>37.674494370431702</c:v>
                </c:pt>
                <c:pt idx="511">
                  <c:v>35.987860658427977</c:v>
                </c:pt>
                <c:pt idx="512">
                  <c:v>9.4288872184317007</c:v>
                </c:pt>
                <c:pt idx="513">
                  <c:v>32.528654106431709</c:v>
                </c:pt>
                <c:pt idx="514">
                  <c:v>34.8785735104317</c:v>
                </c:pt>
                <c:pt idx="515">
                  <c:v>43.337721010228627</c:v>
                </c:pt>
                <c:pt idx="516">
                  <c:v>37.268005940792925</c:v>
                </c:pt>
                <c:pt idx="517">
                  <c:v>21.037160460791064</c:v>
                </c:pt>
                <c:pt idx="518">
                  <c:v>18.258551112792919</c:v>
                </c:pt>
                <c:pt idx="519">
                  <c:v>9.4054813527910586</c:v>
                </c:pt>
                <c:pt idx="520">
                  <c:v>38.726539824791061</c:v>
                </c:pt>
                <c:pt idx="521">
                  <c:v>26.215021088791058</c:v>
                </c:pt>
                <c:pt idx="522">
                  <c:v>32.276479210904796</c:v>
                </c:pt>
                <c:pt idx="523">
                  <c:v>42.908423434906659</c:v>
                </c:pt>
                <c:pt idx="524">
                  <c:v>71.095897382904809</c:v>
                </c:pt>
                <c:pt idx="525">
                  <c:v>47.45829990290666</c:v>
                </c:pt>
                <c:pt idx="526">
                  <c:v>55.128240406906663</c:v>
                </c:pt>
                <c:pt idx="527">
                  <c:v>82.357864438204317</c:v>
                </c:pt>
                <c:pt idx="528">
                  <c:v>63.072944074906665</c:v>
                </c:pt>
                <c:pt idx="529">
                  <c:v>82.357864438204317</c:v>
                </c:pt>
                <c:pt idx="530">
                  <c:v>82.357864438204317</c:v>
                </c:pt>
                <c:pt idx="531">
                  <c:v>82.357864438204317</c:v>
                </c:pt>
                <c:pt idx="532">
                  <c:v>82.357864438204317</c:v>
                </c:pt>
                <c:pt idx="533">
                  <c:v>82.357864438204317</c:v>
                </c:pt>
                <c:pt idx="534">
                  <c:v>82.357864438204317</c:v>
                </c:pt>
                <c:pt idx="535">
                  <c:v>82.357864438204317</c:v>
                </c:pt>
                <c:pt idx="536">
                  <c:v>82.357864438204317</c:v>
                </c:pt>
                <c:pt idx="537">
                  <c:v>82.357864438204317</c:v>
                </c:pt>
                <c:pt idx="538">
                  <c:v>82.357864438204317</c:v>
                </c:pt>
                <c:pt idx="539">
                  <c:v>82.357864438204317</c:v>
                </c:pt>
                <c:pt idx="540">
                  <c:v>80.399772578107587</c:v>
                </c:pt>
                <c:pt idx="541">
                  <c:v>76.287765526107606</c:v>
                </c:pt>
                <c:pt idx="542">
                  <c:v>82.357864438204317</c:v>
                </c:pt>
                <c:pt idx="543">
                  <c:v>82.357864438204317</c:v>
                </c:pt>
                <c:pt idx="544">
                  <c:v>82.357864438204317</c:v>
                </c:pt>
                <c:pt idx="545">
                  <c:v>82.357864438204317</c:v>
                </c:pt>
                <c:pt idx="546">
                  <c:v>82.357864438204317</c:v>
                </c:pt>
                <c:pt idx="547">
                  <c:v>70.624009588275214</c:v>
                </c:pt>
                <c:pt idx="548">
                  <c:v>97.901718364271488</c:v>
                </c:pt>
                <c:pt idx="549">
                  <c:v>105.05542662095111</c:v>
                </c:pt>
                <c:pt idx="550">
                  <c:v>105.05542662095111</c:v>
                </c:pt>
                <c:pt idx="551">
                  <c:v>105.05542662095111</c:v>
                </c:pt>
                <c:pt idx="552">
                  <c:v>98.86733135026536</c:v>
                </c:pt>
                <c:pt idx="553">
                  <c:v>71.855994462259773</c:v>
                </c:pt>
                <c:pt idx="554">
                  <c:v>77.368225970263495</c:v>
                </c:pt>
                <c:pt idx="555">
                  <c:v>90.036722586261632</c:v>
                </c:pt>
                <c:pt idx="556">
                  <c:v>105.05542662095111</c:v>
                </c:pt>
                <c:pt idx="557">
                  <c:v>105.05542662095111</c:v>
                </c:pt>
                <c:pt idx="558">
                  <c:v>105.05542662095111</c:v>
                </c:pt>
                <c:pt idx="559">
                  <c:v>105.05542662095111</c:v>
                </c:pt>
                <c:pt idx="560">
                  <c:v>89.294658898104828</c:v>
                </c:pt>
                <c:pt idx="561">
                  <c:v>85.4385258381011</c:v>
                </c:pt>
                <c:pt idx="562">
                  <c:v>105.05542662095111</c:v>
                </c:pt>
                <c:pt idx="563">
                  <c:v>105.05542662095111</c:v>
                </c:pt>
                <c:pt idx="564">
                  <c:v>105.05542662095111</c:v>
                </c:pt>
                <c:pt idx="565">
                  <c:v>104.72153659255865</c:v>
                </c:pt>
                <c:pt idx="566">
                  <c:v>105.05542662095111</c:v>
                </c:pt>
                <c:pt idx="567">
                  <c:v>105.05542662095111</c:v>
                </c:pt>
                <c:pt idx="568">
                  <c:v>82.508078432562371</c:v>
                </c:pt>
                <c:pt idx="569">
                  <c:v>105.05542662095111</c:v>
                </c:pt>
                <c:pt idx="570">
                  <c:v>105.05542662095111</c:v>
                </c:pt>
                <c:pt idx="571">
                  <c:v>70.514531098416867</c:v>
                </c:pt>
                <c:pt idx="572">
                  <c:v>88.324514350420586</c:v>
                </c:pt>
                <c:pt idx="573">
                  <c:v>105.05542662095111</c:v>
                </c:pt>
                <c:pt idx="574">
                  <c:v>105.05542662095111</c:v>
                </c:pt>
                <c:pt idx="575">
                  <c:v>96.971489306418718</c:v>
                </c:pt>
                <c:pt idx="576">
                  <c:v>105.05542662095111</c:v>
                </c:pt>
                <c:pt idx="577">
                  <c:v>105.05542662095111</c:v>
                </c:pt>
                <c:pt idx="578">
                  <c:v>79.836942209111058</c:v>
                </c:pt>
                <c:pt idx="579">
                  <c:v>49.870291197114781</c:v>
                </c:pt>
                <c:pt idx="580">
                  <c:v>80.033253186111068</c:v>
                </c:pt>
                <c:pt idx="581">
                  <c:v>75.034860076112921</c:v>
                </c:pt>
                <c:pt idx="582">
                  <c:v>32.101209589112919</c:v>
                </c:pt>
                <c:pt idx="583">
                  <c:v>60.380907146111056</c:v>
                </c:pt>
                <c:pt idx="584">
                  <c:v>41.585444585112917</c:v>
                </c:pt>
                <c:pt idx="585">
                  <c:v>102.27748833755247</c:v>
                </c:pt>
                <c:pt idx="586">
                  <c:v>93.32257986254875</c:v>
                </c:pt>
                <c:pt idx="587">
                  <c:v>51.194949078552469</c:v>
                </c:pt>
                <c:pt idx="588">
                  <c:v>62.69774962254688</c:v>
                </c:pt>
                <c:pt idx="589">
                  <c:v>70.225215734552478</c:v>
                </c:pt>
                <c:pt idx="590">
                  <c:v>88.13688702655061</c:v>
                </c:pt>
                <c:pt idx="591">
                  <c:v>112.95177166655061</c:v>
                </c:pt>
                <c:pt idx="592">
                  <c:v>122.79275785238266</c:v>
                </c:pt>
                <c:pt idx="593">
                  <c:v>97.014344129623311</c:v>
                </c:pt>
                <c:pt idx="594">
                  <c:v>116.28581086862145</c:v>
                </c:pt>
                <c:pt idx="595">
                  <c:v>114.88151747762332</c:v>
                </c:pt>
                <c:pt idx="596">
                  <c:v>99.930858625623316</c:v>
                </c:pt>
                <c:pt idx="597">
                  <c:v>115.47489228162145</c:v>
                </c:pt>
                <c:pt idx="598">
                  <c:v>112.43340331362332</c:v>
                </c:pt>
                <c:pt idx="599">
                  <c:v>122.79275785238266</c:v>
                </c:pt>
                <c:pt idx="600">
                  <c:v>122.79275785238266</c:v>
                </c:pt>
                <c:pt idx="601">
                  <c:v>122.79275785238266</c:v>
                </c:pt>
                <c:pt idx="602">
                  <c:v>122.79275785238266</c:v>
                </c:pt>
                <c:pt idx="603">
                  <c:v>112.54498642556703</c:v>
                </c:pt>
                <c:pt idx="604">
                  <c:v>122.79275785238266</c:v>
                </c:pt>
                <c:pt idx="605">
                  <c:v>122.79275785238266</c:v>
                </c:pt>
                <c:pt idx="606">
                  <c:v>122.79275785238266</c:v>
                </c:pt>
                <c:pt idx="607">
                  <c:v>122.79275785238266</c:v>
                </c:pt>
                <c:pt idx="608">
                  <c:v>122.79275785238266</c:v>
                </c:pt>
                <c:pt idx="609">
                  <c:v>122.79275785238266</c:v>
                </c:pt>
                <c:pt idx="610">
                  <c:v>130.24536147210011</c:v>
                </c:pt>
                <c:pt idx="611">
                  <c:v>130.24536147210011</c:v>
                </c:pt>
                <c:pt idx="612">
                  <c:v>130.24536147210011</c:v>
                </c:pt>
                <c:pt idx="613">
                  <c:v>130.24536147210011</c:v>
                </c:pt>
                <c:pt idx="614">
                  <c:v>130.24536147210011</c:v>
                </c:pt>
                <c:pt idx="615">
                  <c:v>130.24536147210011</c:v>
                </c:pt>
                <c:pt idx="616">
                  <c:v>130.24536147210011</c:v>
                </c:pt>
                <c:pt idx="617">
                  <c:v>130.24536147210011</c:v>
                </c:pt>
                <c:pt idx="618">
                  <c:v>130.24536147210011</c:v>
                </c:pt>
                <c:pt idx="619">
                  <c:v>130.24536147210011</c:v>
                </c:pt>
                <c:pt idx="620">
                  <c:v>130.24536147210011</c:v>
                </c:pt>
                <c:pt idx="621">
                  <c:v>130.24536147210011</c:v>
                </c:pt>
                <c:pt idx="622">
                  <c:v>130.24536147210011</c:v>
                </c:pt>
                <c:pt idx="623">
                  <c:v>130.24536147210011</c:v>
                </c:pt>
                <c:pt idx="624">
                  <c:v>130.24536147210011</c:v>
                </c:pt>
                <c:pt idx="625">
                  <c:v>130.24536147210011</c:v>
                </c:pt>
                <c:pt idx="626">
                  <c:v>130.24536147210011</c:v>
                </c:pt>
                <c:pt idx="627">
                  <c:v>130.24536147210011</c:v>
                </c:pt>
                <c:pt idx="628">
                  <c:v>130.24536147210011</c:v>
                </c:pt>
                <c:pt idx="629">
                  <c:v>130.24536147210011</c:v>
                </c:pt>
                <c:pt idx="630">
                  <c:v>130.24536147210011</c:v>
                </c:pt>
                <c:pt idx="631">
                  <c:v>130.24536147210011</c:v>
                </c:pt>
                <c:pt idx="632">
                  <c:v>130.24536147210011</c:v>
                </c:pt>
                <c:pt idx="633">
                  <c:v>130.24536147210011</c:v>
                </c:pt>
                <c:pt idx="634">
                  <c:v>130.24536147210011</c:v>
                </c:pt>
                <c:pt idx="635">
                  <c:v>130.24536147210011</c:v>
                </c:pt>
                <c:pt idx="636">
                  <c:v>130.24536147210011</c:v>
                </c:pt>
                <c:pt idx="637">
                  <c:v>130.24536147210011</c:v>
                </c:pt>
                <c:pt idx="638">
                  <c:v>137.27594688682913</c:v>
                </c:pt>
                <c:pt idx="639">
                  <c:v>135.6930848069116</c:v>
                </c:pt>
                <c:pt idx="640">
                  <c:v>137.27594688682913</c:v>
                </c:pt>
                <c:pt idx="641">
                  <c:v>137.27594688682913</c:v>
                </c:pt>
                <c:pt idx="642">
                  <c:v>137.27594688682913</c:v>
                </c:pt>
                <c:pt idx="643">
                  <c:v>137.27594688682913</c:v>
                </c:pt>
                <c:pt idx="644">
                  <c:v>137.27594688682913</c:v>
                </c:pt>
                <c:pt idx="645">
                  <c:v>137.27594688682913</c:v>
                </c:pt>
                <c:pt idx="646">
                  <c:v>137.27594688682913</c:v>
                </c:pt>
                <c:pt idx="647">
                  <c:v>137.27594688682913</c:v>
                </c:pt>
                <c:pt idx="648">
                  <c:v>137.27594688682913</c:v>
                </c:pt>
                <c:pt idx="649">
                  <c:v>137.27594688682913</c:v>
                </c:pt>
                <c:pt idx="650">
                  <c:v>137.27594688682913</c:v>
                </c:pt>
                <c:pt idx="651">
                  <c:v>114.44261998187723</c:v>
                </c:pt>
                <c:pt idx="652">
                  <c:v>100.62032380187722</c:v>
                </c:pt>
                <c:pt idx="653">
                  <c:v>137.06542471387908</c:v>
                </c:pt>
                <c:pt idx="654">
                  <c:v>137.27594688682913</c:v>
                </c:pt>
                <c:pt idx="655">
                  <c:v>137.27594688682913</c:v>
                </c:pt>
                <c:pt idx="656">
                  <c:v>119.39261836855691</c:v>
                </c:pt>
                <c:pt idx="657">
                  <c:v>137.27594688682913</c:v>
                </c:pt>
                <c:pt idx="658">
                  <c:v>137.27594688682913</c:v>
                </c:pt>
                <c:pt idx="659">
                  <c:v>122.88213651255319</c:v>
                </c:pt>
                <c:pt idx="660">
                  <c:v>118.93367184655506</c:v>
                </c:pt>
                <c:pt idx="661">
                  <c:v>132.99573611155503</c:v>
                </c:pt>
                <c:pt idx="662">
                  <c:v>106.76487909682987</c:v>
                </c:pt>
                <c:pt idx="663">
                  <c:v>71.280996678833603</c:v>
                </c:pt>
                <c:pt idx="664">
                  <c:v>69.412602800831735</c:v>
                </c:pt>
                <c:pt idx="665">
                  <c:v>48.286059842829879</c:v>
                </c:pt>
                <c:pt idx="666">
                  <c:v>48.756009019831737</c:v>
                </c:pt>
                <c:pt idx="667">
                  <c:v>69.654697420828015</c:v>
                </c:pt>
                <c:pt idx="668">
                  <c:v>60.100409236831737</c:v>
                </c:pt>
                <c:pt idx="669">
                  <c:v>90.954410886125189</c:v>
                </c:pt>
                <c:pt idx="670">
                  <c:v>82.548418672123347</c:v>
                </c:pt>
                <c:pt idx="671">
                  <c:v>92.920710942121474</c:v>
                </c:pt>
                <c:pt idx="672">
                  <c:v>94.420891944121465</c:v>
                </c:pt>
                <c:pt idx="673">
                  <c:v>95.678114066123342</c:v>
                </c:pt>
                <c:pt idx="674">
                  <c:v>90.481906112125188</c:v>
                </c:pt>
                <c:pt idx="675">
                  <c:v>120.59630407412146</c:v>
                </c:pt>
                <c:pt idx="676">
                  <c:v>127.43163898759407</c:v>
                </c:pt>
                <c:pt idx="677">
                  <c:v>119.47021666159593</c:v>
                </c:pt>
                <c:pt idx="678">
                  <c:v>103.56574747959593</c:v>
                </c:pt>
                <c:pt idx="679">
                  <c:v>78.185238966594071</c:v>
                </c:pt>
                <c:pt idx="680">
                  <c:v>57.454799726597798</c:v>
                </c:pt>
                <c:pt idx="681">
                  <c:v>67.208198955594071</c:v>
                </c:pt>
                <c:pt idx="682">
                  <c:v>88.387972225595931</c:v>
                </c:pt>
                <c:pt idx="683">
                  <c:v>87.844399155429457</c:v>
                </c:pt>
                <c:pt idx="684">
                  <c:v>93.660145318433194</c:v>
                </c:pt>
                <c:pt idx="685">
                  <c:v>103.88382140443319</c:v>
                </c:pt>
                <c:pt idx="686">
                  <c:v>66.35781407942946</c:v>
                </c:pt>
                <c:pt idx="687">
                  <c:v>46.572328499433191</c:v>
                </c:pt>
                <c:pt idx="688">
                  <c:v>75.848485748433191</c:v>
                </c:pt>
                <c:pt idx="689">
                  <c:v>68.827133293431331</c:v>
                </c:pt>
                <c:pt idx="690">
                  <c:v>78.444099388637326</c:v>
                </c:pt>
                <c:pt idx="691">
                  <c:v>78.403106478637326</c:v>
                </c:pt>
                <c:pt idx="692">
                  <c:v>93.719806265639193</c:v>
                </c:pt>
                <c:pt idx="693">
                  <c:v>74.781610486635472</c:v>
                </c:pt>
                <c:pt idx="694">
                  <c:v>54.946524059639195</c:v>
                </c:pt>
                <c:pt idx="695">
                  <c:v>65.856687558637333</c:v>
                </c:pt>
                <c:pt idx="696">
                  <c:v>70.928353295639198</c:v>
                </c:pt>
                <c:pt idx="697">
                  <c:v>106.53722492599499</c:v>
                </c:pt>
                <c:pt idx="698">
                  <c:v>108.04056139800245</c:v>
                </c:pt>
                <c:pt idx="699">
                  <c:v>86.989402905994993</c:v>
                </c:pt>
                <c:pt idx="700">
                  <c:v>74.728085611996846</c:v>
                </c:pt>
                <c:pt idx="701">
                  <c:v>80.241866380000587</c:v>
                </c:pt>
                <c:pt idx="702">
                  <c:v>96.996337327600401</c:v>
                </c:pt>
                <c:pt idx="703">
                  <c:v>96.996337327600401</c:v>
                </c:pt>
                <c:pt idx="704">
                  <c:v>96.996337327600401</c:v>
                </c:pt>
                <c:pt idx="705">
                  <c:v>96.996337327600401</c:v>
                </c:pt>
                <c:pt idx="706">
                  <c:v>96.996337327600401</c:v>
                </c:pt>
                <c:pt idx="707">
                  <c:v>68.77696112110246</c:v>
                </c:pt>
                <c:pt idx="708">
                  <c:v>60.648677384104317</c:v>
                </c:pt>
                <c:pt idx="709">
                  <c:v>92.308440412106179</c:v>
                </c:pt>
                <c:pt idx="710">
                  <c:v>96.996337327600401</c:v>
                </c:pt>
                <c:pt idx="711">
                  <c:v>93.467609295974626</c:v>
                </c:pt>
                <c:pt idx="712">
                  <c:v>89.567963126978356</c:v>
                </c:pt>
                <c:pt idx="713">
                  <c:v>84.343720663974622</c:v>
                </c:pt>
                <c:pt idx="714">
                  <c:v>92.415462039976504</c:v>
                </c:pt>
                <c:pt idx="715">
                  <c:v>92.76668698797836</c:v>
                </c:pt>
                <c:pt idx="716">
                  <c:v>96.996337327600401</c:v>
                </c:pt>
                <c:pt idx="717">
                  <c:v>96.996337327600401</c:v>
                </c:pt>
                <c:pt idx="718">
                  <c:v>94.574809138787984</c:v>
                </c:pt>
                <c:pt idx="719">
                  <c:v>88.454457855787993</c:v>
                </c:pt>
                <c:pt idx="720">
                  <c:v>91.71057150578612</c:v>
                </c:pt>
                <c:pt idx="721">
                  <c:v>73.604161994787987</c:v>
                </c:pt>
                <c:pt idx="722">
                  <c:v>56.305882014786128</c:v>
                </c:pt>
                <c:pt idx="723">
                  <c:v>70.335712183787976</c:v>
                </c:pt>
                <c:pt idx="724">
                  <c:v>88.420787201786126</c:v>
                </c:pt>
                <c:pt idx="725">
                  <c:v>61.802897712191637</c:v>
                </c:pt>
                <c:pt idx="726">
                  <c:v>60.744908920193495</c:v>
                </c:pt>
                <c:pt idx="727">
                  <c:v>74.396140904189778</c:v>
                </c:pt>
                <c:pt idx="728">
                  <c:v>52.28320616819164</c:v>
                </c:pt>
                <c:pt idx="729">
                  <c:v>27.053107012193504</c:v>
                </c:pt>
                <c:pt idx="730">
                  <c:v>47.068135448191633</c:v>
                </c:pt>
                <c:pt idx="731">
                  <c:v>42.573148472195363</c:v>
                </c:pt>
                <c:pt idx="732">
                  <c:v>50.379102327468779</c:v>
                </c:pt>
                <c:pt idx="733">
                  <c:v>43.434186287470645</c:v>
                </c:pt>
                <c:pt idx="734">
                  <c:v>47.216500133468784</c:v>
                </c:pt>
                <c:pt idx="735">
                  <c:v>47.459840479468781</c:v>
                </c:pt>
                <c:pt idx="736">
                  <c:v>33.044922431470646</c:v>
                </c:pt>
                <c:pt idx="737">
                  <c:v>44.453724247468784</c:v>
                </c:pt>
                <c:pt idx="738">
                  <c:v>34.078163039472507</c:v>
                </c:pt>
                <c:pt idx="739">
                  <c:v>30.747152508585394</c:v>
                </c:pt>
                <c:pt idx="740">
                  <c:v>30.556959344583536</c:v>
                </c:pt>
                <c:pt idx="741">
                  <c:v>30.195372312585395</c:v>
                </c:pt>
                <c:pt idx="742">
                  <c:v>34.563535425583531</c:v>
                </c:pt>
                <c:pt idx="743">
                  <c:v>35.77137464758539</c:v>
                </c:pt>
                <c:pt idx="744">
                  <c:v>61.105004408583525</c:v>
                </c:pt>
                <c:pt idx="745">
                  <c:v>62.073163406333713</c:v>
                </c:pt>
                <c:pt idx="746">
                  <c:v>40.407698469990194</c:v>
                </c:pt>
                <c:pt idx="747">
                  <c:v>30.290892797992054</c:v>
                </c:pt>
                <c:pt idx="748">
                  <c:v>35.566409522995777</c:v>
                </c:pt>
                <c:pt idx="749">
                  <c:v>12.367928405992053</c:v>
                </c:pt>
                <c:pt idx="750">
                  <c:v>6.4833669819920541</c:v>
                </c:pt>
                <c:pt idx="751">
                  <c:v>37.619524392993917</c:v>
                </c:pt>
                <c:pt idx="752">
                  <c:v>53.082636909993916</c:v>
                </c:pt>
                <c:pt idx="753">
                  <c:v>29.837647560541054</c:v>
                </c:pt>
                <c:pt idx="754">
                  <c:v>17.098436928539186</c:v>
                </c:pt>
                <c:pt idx="755">
                  <c:v>11.56675413354105</c:v>
                </c:pt>
                <c:pt idx="756">
                  <c:v>8.9710408995429169</c:v>
                </c:pt>
                <c:pt idx="757">
                  <c:v>3.9053097725391925</c:v>
                </c:pt>
                <c:pt idx="758">
                  <c:v>4.3066469645391914</c:v>
                </c:pt>
                <c:pt idx="759">
                  <c:v>20.873341964539183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7336"/>
        <c:axId val="707457728"/>
      </c:area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</c:spPr>
          <c:invertIfNegative val="0"/>
          <c:dLbls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E-4D38-9F4D-DEB0550779F3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1E-45FA-AAF9-70FD8F87F533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E-4D38-9F4D-DEB0550779F3}"/>
                </c:ext>
              </c:extLst>
            </c:dLbl>
            <c:dLbl>
              <c:idx val="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C-45A2-BA2B-223AD0A4FE34}"/>
                </c:ext>
              </c:extLst>
            </c:dLbl>
            <c:dLbl>
              <c:idx val="10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E-4D38-9F4D-DEB0550779F3}"/>
                </c:ext>
              </c:extLst>
            </c:dLbl>
            <c:dLbl>
              <c:idx val="1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E-4D38-9F4D-DEB0550779F3}"/>
                </c:ext>
              </c:extLst>
            </c:dLbl>
            <c:dLbl>
              <c:idx val="1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C-45A2-BA2B-223AD0A4FE34}"/>
                </c:ext>
              </c:extLst>
            </c:dLbl>
            <c:dLbl>
              <c:idx val="1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1E-45FA-AAF9-70FD8F87F533}"/>
                </c:ext>
              </c:extLst>
            </c:dLbl>
            <c:dLbl>
              <c:idx val="1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E-4D38-9F4D-DEB0550779F3}"/>
                </c:ext>
              </c:extLst>
            </c:dLbl>
            <c:dLbl>
              <c:idx val="1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1E-45FA-AAF9-70FD8F87F533}"/>
                </c:ext>
              </c:extLst>
            </c:dLbl>
            <c:dLbl>
              <c:idx val="19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6-4D07-9C23-0D84A3F95161}"/>
                </c:ext>
              </c:extLst>
            </c:dLbl>
            <c:dLbl>
              <c:idx val="2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1-434A-A271-9263D37E2FE2}"/>
                </c:ext>
              </c:extLst>
            </c:dLbl>
            <c:dLbl>
              <c:idx val="25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EE-4D38-9F4D-DEB0550779F3}"/>
                </c:ext>
              </c:extLst>
            </c:dLbl>
            <c:dLbl>
              <c:idx val="2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E-45FA-AAF9-70FD8F87F533}"/>
                </c:ext>
              </c:extLst>
            </c:dLbl>
            <c:dLbl>
              <c:idx val="28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EE-4D38-9F4D-DEB0550779F3}"/>
                </c:ext>
              </c:extLst>
            </c:dLbl>
            <c:dLbl>
              <c:idx val="2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C-45A2-BA2B-223AD0A4FE34}"/>
                </c:ext>
              </c:extLst>
            </c:dLbl>
            <c:dLbl>
              <c:idx val="2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6-4D07-9C23-0D84A3F95161}"/>
                </c:ext>
              </c:extLst>
            </c:dLbl>
            <c:dLbl>
              <c:idx val="3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EE-4D38-9F4D-DEB0550779F3}"/>
                </c:ext>
              </c:extLst>
            </c:dLbl>
            <c:dLbl>
              <c:idx val="3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1E-45FA-AAF9-70FD8F87F533}"/>
                </c:ext>
              </c:extLst>
            </c:dLbl>
            <c:dLbl>
              <c:idx val="40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E-4D38-9F4D-DEB0550779F3}"/>
                </c:ext>
              </c:extLst>
            </c:dLbl>
            <c:dLbl>
              <c:idx val="4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E-45FA-AAF9-70FD8F87F533}"/>
                </c:ext>
              </c:extLst>
            </c:dLbl>
            <c:dLbl>
              <c:idx val="4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E-4D38-9F4D-DEB0550779F3}"/>
                </c:ext>
              </c:extLst>
            </c:dLbl>
            <c:dLbl>
              <c:idx val="4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C-45A2-BA2B-223AD0A4FE34}"/>
                </c:ext>
              </c:extLst>
            </c:dLbl>
            <c:dLbl>
              <c:idx val="4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EE-4D38-9F4D-DEB0550779F3}"/>
                </c:ext>
              </c:extLst>
            </c:dLbl>
            <c:dLbl>
              <c:idx val="4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EE-4D38-9F4D-DEB0550779F3}"/>
                </c:ext>
              </c:extLst>
            </c:dLbl>
            <c:dLbl>
              <c:idx val="50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2C-45A2-BA2B-223AD0A4FE34}"/>
                </c:ext>
              </c:extLst>
            </c:dLbl>
            <c:dLbl>
              <c:idx val="50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E-45FA-AAF9-70FD8F87F533}"/>
                </c:ext>
              </c:extLst>
            </c:dLbl>
            <c:dLbl>
              <c:idx val="5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EE-4D38-9F4D-DEB0550779F3}"/>
                </c:ext>
              </c:extLst>
            </c:dLbl>
            <c:dLbl>
              <c:idx val="56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E-45FA-AAF9-70FD8F87F533}"/>
                </c:ext>
              </c:extLst>
            </c:dLbl>
            <c:dLbl>
              <c:idx val="5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6-4D07-9C23-0D84A3F95161}"/>
                </c:ext>
              </c:extLst>
            </c:dLbl>
            <c:dLbl>
              <c:idx val="5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1-434A-A271-9263D37E2FE2}"/>
                </c:ext>
              </c:extLst>
            </c:dLbl>
            <c:dLbl>
              <c:idx val="6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EE-4D38-9F4D-DEB0550779F3}"/>
                </c:ext>
              </c:extLst>
            </c:dLbl>
            <c:dLbl>
              <c:idx val="6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E-45FA-AAF9-70FD8F87F533}"/>
                </c:ext>
              </c:extLst>
            </c:dLbl>
            <c:dLbl>
              <c:idx val="6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EE-4D38-9F4D-DEB0550779F3}"/>
                </c:ext>
              </c:extLst>
            </c:dLbl>
            <c:dLbl>
              <c:idx val="6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2C-45A2-BA2B-223AD0A4FE34}"/>
                </c:ext>
              </c:extLst>
            </c:dLbl>
            <c:dLbl>
              <c:idx val="6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1-434A-A271-9263D37E2FE2}"/>
                </c:ext>
              </c:extLst>
            </c:dLbl>
            <c:dLbl>
              <c:idx val="6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6-4D07-9C23-0D84A3F95161}"/>
                </c:ext>
              </c:extLst>
            </c:dLbl>
            <c:dLbl>
              <c:idx val="7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EE-4D38-9F4D-DEB0550779F3}"/>
                </c:ext>
              </c:extLst>
            </c:dLbl>
            <c:dLbl>
              <c:idx val="7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1E-45FA-AAF9-70FD8F87F533}"/>
                </c:ext>
              </c:extLst>
            </c:dLbl>
            <c:dLbl>
              <c:idx val="7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6-4D07-9C23-0D84A3F95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4563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Dat_07!$G$52:$H$811</c:f>
              <c:multiLvlStrCache>
                <c:ptCount val="745"/>
                <c:lvl>
                  <c:pt idx="14">
                    <c:v>J</c:v>
                  </c:pt>
                  <c:pt idx="44">
                    <c:v>J</c:v>
                  </c:pt>
                  <c:pt idx="75">
                    <c:v>A</c:v>
                  </c:pt>
                  <c:pt idx="106">
                    <c:v>S</c:v>
                  </c:pt>
                  <c:pt idx="136">
                    <c:v>O</c:v>
                  </c:pt>
                  <c:pt idx="167">
                    <c:v>N</c:v>
                  </c:pt>
                  <c:pt idx="197">
                    <c:v>D</c:v>
                  </c:pt>
                  <c:pt idx="228">
                    <c:v>E</c:v>
                  </c:pt>
                  <c:pt idx="259">
                    <c:v>F</c:v>
                  </c:pt>
                  <c:pt idx="287">
                    <c:v>M</c:v>
                  </c:pt>
                  <c:pt idx="318">
                    <c:v>A</c:v>
                  </c:pt>
                  <c:pt idx="348">
                    <c:v>M</c:v>
                  </c:pt>
                  <c:pt idx="379">
                    <c:v>J</c:v>
                  </c:pt>
                  <c:pt idx="409">
                    <c:v>J</c:v>
                  </c:pt>
                  <c:pt idx="440">
                    <c:v>A</c:v>
                  </c:pt>
                  <c:pt idx="471">
                    <c:v>S</c:v>
                  </c:pt>
                  <c:pt idx="501">
                    <c:v>O</c:v>
                  </c:pt>
                  <c:pt idx="532">
                    <c:v>N</c:v>
                  </c:pt>
                  <c:pt idx="562">
                    <c:v>D</c:v>
                  </c:pt>
                  <c:pt idx="593">
                    <c:v>E</c:v>
                  </c:pt>
                  <c:pt idx="624">
                    <c:v>F</c:v>
                  </c:pt>
                  <c:pt idx="652">
                    <c:v>M</c:v>
                  </c:pt>
                  <c:pt idx="683">
                    <c:v>A</c:v>
                  </c:pt>
                  <c:pt idx="713">
                    <c:v>M</c:v>
                  </c:pt>
                  <c:pt idx="744">
                    <c:v>J</c:v>
                  </c:pt>
                </c:lvl>
                <c:lvl>
                  <c:pt idx="0">
                    <c:v>2024 </c:v>
                  </c:pt>
                  <c:pt idx="214">
                    <c:v>2025 </c:v>
                  </c:pt>
                  <c:pt idx="579">
                    <c:v>2026 </c:v>
                  </c:pt>
                </c:lvl>
              </c:multiLvlStrCache>
            </c:multiLvlStrRef>
          </c:cat>
          <c:val>
            <c:numRef>
              <c:f>Dat_07!$I$52:$I$811</c:f>
              <c:numCache>
                <c:formatCode>0</c:formatCode>
                <c:ptCount val="760"/>
                <c:pt idx="14">
                  <c:v>62.145020957620687</c:v>
                </c:pt>
                <c:pt idx="44">
                  <c:v>25.910326049029329</c:v>
                </c:pt>
                <c:pt idx="75">
                  <c:v>15.363630405709555</c:v>
                </c:pt>
                <c:pt idx="106">
                  <c:v>19.885734840413747</c:v>
                </c:pt>
                <c:pt idx="136">
                  <c:v>40.505689176644211</c:v>
                </c:pt>
                <c:pt idx="167">
                  <c:v>82.040549235563063</c:v>
                </c:pt>
                <c:pt idx="197">
                  <c:v>104.34579689704225</c:v>
                </c:pt>
                <c:pt idx="228">
                  <c:v>119.24912559323448</c:v>
                </c:pt>
                <c:pt idx="259">
                  <c:v>124.45770390135006</c:v>
                </c:pt>
                <c:pt idx="287">
                  <c:v>129.67177197597073</c:v>
                </c:pt>
                <c:pt idx="318">
                  <c:v>123.24737037204483</c:v>
                </c:pt>
                <c:pt idx="348">
                  <c:v>94.081084096418962</c:v>
                </c:pt>
                <c:pt idx="379">
                  <c:v>61.406867513274626</c:v>
                </c:pt>
                <c:pt idx="409">
                  <c:v>25.377234765527756</c:v>
                </c:pt>
                <c:pt idx="440">
                  <c:v>14.606396891514056</c:v>
                </c:pt>
                <c:pt idx="471">
                  <c:v>20.096931654918169</c:v>
                </c:pt>
                <c:pt idx="501">
                  <c:v>43.337721010228627</c:v>
                </c:pt>
                <c:pt idx="532">
                  <c:v>82.357864438204317</c:v>
                </c:pt>
                <c:pt idx="562">
                  <c:v>105.05542662095111</c:v>
                </c:pt>
                <c:pt idx="593">
                  <c:v>122.79275785238266</c:v>
                </c:pt>
                <c:pt idx="624">
                  <c:v>130.24536147210011</c:v>
                </c:pt>
                <c:pt idx="652">
                  <c:v>137.27594688682913</c:v>
                </c:pt>
                <c:pt idx="683">
                  <c:v>127.74862877812576</c:v>
                </c:pt>
                <c:pt idx="713">
                  <c:v>96.996337327600401</c:v>
                </c:pt>
                <c:pt idx="744">
                  <c:v>62.073163406333713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7336"/>
        <c:axId val="707457728"/>
        <c:extLst/>
      </c:barChart>
      <c:catAx>
        <c:axId val="70745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7728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336"/>
        <c:crosses val="autoZero"/>
        <c:crossBetween val="between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ayout>
        <c:manualLayout>
          <c:xMode val="edge"/>
          <c:yMode val="edge"/>
          <c:x val="0.31693273076279305"/>
          <c:y val="1.5748031496062992E-2"/>
          <c:w val="0.33357008799951565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5808559654E-2"/>
          <c:y val="0.14509060663849843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3'!$F$5:$F$64</c:f>
              <c:numCache>
                <c:formatCode>#,##0\ _)</c:formatCode>
                <c:ptCount val="60"/>
                <c:pt idx="0">
                  <c:v>13035.252519200001</c:v>
                </c:pt>
                <c:pt idx="1">
                  <c:v>13419.170344149999</c:v>
                </c:pt>
                <c:pt idx="2">
                  <c:v>13898.837668799999</c:v>
                </c:pt>
                <c:pt idx="3">
                  <c:v>13999.32071715</c:v>
                </c:pt>
                <c:pt idx="4">
                  <c:v>14194.180336200001</c:v>
                </c:pt>
                <c:pt idx="5">
                  <c:v>13918.899108600002</c:v>
                </c:pt>
                <c:pt idx="6">
                  <c:v>12486.880997399992</c:v>
                </c:pt>
                <c:pt idx="7">
                  <c:v>11155.732386300004</c:v>
                </c:pt>
                <c:pt idx="8">
                  <c:v>10360.471131599998</c:v>
                </c:pt>
                <c:pt idx="9">
                  <c:v>10037.671056599998</c:v>
                </c:pt>
                <c:pt idx="10">
                  <c:v>11248.176501599997</c:v>
                </c:pt>
                <c:pt idx="11">
                  <c:v>13212.158572249993</c:v>
                </c:pt>
                <c:pt idx="12">
                  <c:v>13040.239735350002</c:v>
                </c:pt>
                <c:pt idx="13">
                  <c:v>13487.652788849999</c:v>
                </c:pt>
                <c:pt idx="14">
                  <c:v>13930.057121199998</c:v>
                </c:pt>
                <c:pt idx="15">
                  <c:v>14047.993249249999</c:v>
                </c:pt>
                <c:pt idx="16">
                  <c:v>14233.601752450002</c:v>
                </c:pt>
                <c:pt idx="17">
                  <c:v>13976.290717650001</c:v>
                </c:pt>
                <c:pt idx="18">
                  <c:v>12562.378863849992</c:v>
                </c:pt>
                <c:pt idx="19">
                  <c:v>11229.408822250003</c:v>
                </c:pt>
                <c:pt idx="20">
                  <c:v>10432.212868399996</c:v>
                </c:pt>
                <c:pt idx="21">
                  <c:v>10126.464060649998</c:v>
                </c:pt>
                <c:pt idx="22">
                  <c:v>11273.481864499998</c:v>
                </c:pt>
                <c:pt idx="23">
                  <c:v>13151.183606699993</c:v>
                </c:pt>
                <c:pt idx="24">
                  <c:v>13045.226951500001</c:v>
                </c:pt>
                <c:pt idx="25">
                  <c:v>13556.135233550001</c:v>
                </c:pt>
                <c:pt idx="26">
                  <c:v>13961.2765736</c:v>
                </c:pt>
                <c:pt idx="27">
                  <c:v>14096.665781349997</c:v>
                </c:pt>
                <c:pt idx="28">
                  <c:v>14273.023168700001</c:v>
                </c:pt>
                <c:pt idx="29">
                  <c:v>14033.682326700004</c:v>
                </c:pt>
                <c:pt idx="30">
                  <c:v>12637.876730299991</c:v>
                </c:pt>
                <c:pt idx="31">
                  <c:v>11303.085258200004</c:v>
                </c:pt>
                <c:pt idx="32">
                  <c:v>10503.954605199997</c:v>
                </c:pt>
                <c:pt idx="33">
                  <c:v>10198.405590699997</c:v>
                </c:pt>
                <c:pt idx="34">
                  <c:v>11298.787227399998</c:v>
                </c:pt>
                <c:pt idx="35">
                  <c:v>13090.208641149995</c:v>
                </c:pt>
                <c:pt idx="36">
                  <c:v>13050.214167650001</c:v>
                </c:pt>
                <c:pt idx="37">
                  <c:v>13624.617678250001</c:v>
                </c:pt>
                <c:pt idx="38">
                  <c:v>13992.496025999999</c:v>
                </c:pt>
                <c:pt idx="39">
                  <c:v>14145.338313449998</c:v>
                </c:pt>
                <c:pt idx="40">
                  <c:v>14312.444584950004</c:v>
                </c:pt>
                <c:pt idx="41">
                  <c:v>14091.073935750002</c:v>
                </c:pt>
                <c:pt idx="42">
                  <c:v>12713.374596749991</c:v>
                </c:pt>
                <c:pt idx="43">
                  <c:v>11376.761694150005</c:v>
                </c:pt>
                <c:pt idx="44">
                  <c:v>10575.696341999996</c:v>
                </c:pt>
                <c:pt idx="45">
                  <c:v>10270.347120749997</c:v>
                </c:pt>
                <c:pt idx="46">
                  <c:v>11324.092590299999</c:v>
                </c:pt>
                <c:pt idx="47">
                  <c:v>13029.233675599995</c:v>
                </c:pt>
                <c:pt idx="48">
                  <c:v>13055.201383800002</c:v>
                </c:pt>
                <c:pt idx="49">
                  <c:v>13693.10012295</c:v>
                </c:pt>
                <c:pt idx="50">
                  <c:v>14023.715478399998</c:v>
                </c:pt>
                <c:pt idx="51">
                  <c:v>14221.481717984827</c:v>
                </c:pt>
                <c:pt idx="52">
                  <c:v>14398.126186991058</c:v>
                </c:pt>
                <c:pt idx="53">
                  <c:v>14159.076845916028</c:v>
                </c:pt>
                <c:pt idx="54">
                  <c:v>12790.69365908862</c:v>
                </c:pt>
                <c:pt idx="55">
                  <c:v>11450.438130100005</c:v>
                </c:pt>
                <c:pt idx="56">
                  <c:v>10647.438078799994</c:v>
                </c:pt>
                <c:pt idx="57">
                  <c:v>10342.288650799997</c:v>
                </c:pt>
                <c:pt idx="58">
                  <c:v>11349.397953199998</c:v>
                </c:pt>
                <c:pt idx="59">
                  <c:v>12968.258710049995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0-4AAB-9D0C-45639A8561D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3'!$G$5:$G$64</c:f>
              <c:numCache>
                <c:formatCode>#,##0\ _)</c:formatCode>
                <c:ptCount val="60"/>
                <c:pt idx="0">
                  <c:v>5477.0266986999977</c:v>
                </c:pt>
                <c:pt idx="1">
                  <c:v>5596.8493599999993</c:v>
                </c:pt>
                <c:pt idx="2">
                  <c:v>5950.5832111499976</c:v>
                </c:pt>
                <c:pt idx="3">
                  <c:v>7213.8650399999988</c:v>
                </c:pt>
                <c:pt idx="4">
                  <c:v>7275.1757219999972</c:v>
                </c:pt>
                <c:pt idx="5">
                  <c:v>6720.2938423489422</c:v>
                </c:pt>
                <c:pt idx="6">
                  <c:v>5861.5753199858218</c:v>
                </c:pt>
                <c:pt idx="7">
                  <c:v>5122.4186417062165</c:v>
                </c:pt>
                <c:pt idx="8">
                  <c:v>4769.6031145773832</c:v>
                </c:pt>
                <c:pt idx="9">
                  <c:v>4490.9091346624027</c:v>
                </c:pt>
                <c:pt idx="10">
                  <c:v>4818.1352348499995</c:v>
                </c:pt>
                <c:pt idx="11">
                  <c:v>5311.2606904000004</c:v>
                </c:pt>
                <c:pt idx="12">
                  <c:v>5486.0984956999982</c:v>
                </c:pt>
                <c:pt idx="13">
                  <c:v>5615.0378613499997</c:v>
                </c:pt>
                <c:pt idx="14">
                  <c:v>6014.3883134999978</c:v>
                </c:pt>
                <c:pt idx="15">
                  <c:v>7267.1733878570958</c:v>
                </c:pt>
                <c:pt idx="16">
                  <c:v>7325.0050030361872</c:v>
                </c:pt>
                <c:pt idx="17">
                  <c:v>6772.5070219186337</c:v>
                </c:pt>
                <c:pt idx="18">
                  <c:v>5915.1664204949993</c:v>
                </c:pt>
                <c:pt idx="19">
                  <c:v>5168.0545450397494</c:v>
                </c:pt>
                <c:pt idx="20">
                  <c:v>4785.5655401029526</c:v>
                </c:pt>
                <c:pt idx="21">
                  <c:v>4514.7712603624032</c:v>
                </c:pt>
                <c:pt idx="22">
                  <c:v>4824.0998959000008</c:v>
                </c:pt>
                <c:pt idx="23">
                  <c:v>5306.2445997000004</c:v>
                </c:pt>
                <c:pt idx="24">
                  <c:v>5495.1702926999978</c:v>
                </c:pt>
                <c:pt idx="25">
                  <c:v>5633.2263627000011</c:v>
                </c:pt>
                <c:pt idx="26">
                  <c:v>6078.193415849998</c:v>
                </c:pt>
                <c:pt idx="27">
                  <c:v>7320.4817357141919</c:v>
                </c:pt>
                <c:pt idx="28">
                  <c:v>7374.8342840723762</c:v>
                </c:pt>
                <c:pt idx="29">
                  <c:v>6824.7202014883251</c:v>
                </c:pt>
                <c:pt idx="30">
                  <c:v>5968.7575210041769</c:v>
                </c:pt>
                <c:pt idx="31">
                  <c:v>5213.6904483732833</c:v>
                </c:pt>
                <c:pt idx="32">
                  <c:v>4801.527965628522</c:v>
                </c:pt>
                <c:pt idx="33">
                  <c:v>4538.6333860624027</c:v>
                </c:pt>
                <c:pt idx="34">
                  <c:v>4803.1739069499999</c:v>
                </c:pt>
                <c:pt idx="35">
                  <c:v>5281.5086990000018</c:v>
                </c:pt>
                <c:pt idx="36">
                  <c:v>5504.2420896999975</c:v>
                </c:pt>
                <c:pt idx="37">
                  <c:v>5651.4148640500007</c:v>
                </c:pt>
                <c:pt idx="38">
                  <c:v>6141.9985181999982</c:v>
                </c:pt>
                <c:pt idx="39">
                  <c:v>7373.7900835712881</c:v>
                </c:pt>
                <c:pt idx="40">
                  <c:v>7424.6635651085671</c:v>
                </c:pt>
                <c:pt idx="41">
                  <c:v>6876.9333810580165</c:v>
                </c:pt>
                <c:pt idx="42">
                  <c:v>6022.3486215133544</c:v>
                </c:pt>
                <c:pt idx="43">
                  <c:v>5259.3263517068171</c:v>
                </c:pt>
                <c:pt idx="44">
                  <c:v>4817.4903911540914</c:v>
                </c:pt>
                <c:pt idx="45">
                  <c:v>4562.4955117624031</c:v>
                </c:pt>
                <c:pt idx="46">
                  <c:v>4782.2479179999991</c:v>
                </c:pt>
                <c:pt idx="47">
                  <c:v>5256.7727983000023</c:v>
                </c:pt>
                <c:pt idx="48">
                  <c:v>5513.3138866999971</c:v>
                </c:pt>
                <c:pt idx="49">
                  <c:v>5669.6033654000021</c:v>
                </c:pt>
                <c:pt idx="50">
                  <c:v>6205.8036205499984</c:v>
                </c:pt>
                <c:pt idx="51">
                  <c:v>7427.0984314283833</c:v>
                </c:pt>
                <c:pt idx="52">
                  <c:v>7474.4928461447562</c:v>
                </c:pt>
                <c:pt idx="53">
                  <c:v>6929.146560627707</c:v>
                </c:pt>
                <c:pt idx="54">
                  <c:v>6075.9397220225319</c:v>
                </c:pt>
                <c:pt idx="55">
                  <c:v>5304.9622550403501</c:v>
                </c:pt>
                <c:pt idx="56">
                  <c:v>4833.4528166796608</c:v>
                </c:pt>
                <c:pt idx="57">
                  <c:v>4586.3576374624035</c:v>
                </c:pt>
                <c:pt idx="58">
                  <c:v>4761.3219290500001</c:v>
                </c:pt>
                <c:pt idx="59">
                  <c:v>5232.0368976000027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9688"/>
        <c:axId val="707460080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3'!$H$5:$H$64</c:f>
              <c:numCache>
                <c:formatCode>#,##0\ _)</c:formatCode>
                <c:ptCount val="60"/>
                <c:pt idx="0">
                  <c:v>9325.0652119229526</c:v>
                </c:pt>
                <c:pt idx="1">
                  <c:v>10034.297981343811</c:v>
                </c:pt>
                <c:pt idx="2">
                  <c:v>10651.382707382183</c:v>
                </c:pt>
                <c:pt idx="3">
                  <c:v>11224.845272938524</c:v>
                </c:pt>
                <c:pt idx="4">
                  <c:v>11376.573024106245</c:v>
                </c:pt>
                <c:pt idx="5">
                  <c:v>10871.053378959414</c:v>
                </c:pt>
                <c:pt idx="6">
                  <c:v>9714.3243532549059</c:v>
                </c:pt>
                <c:pt idx="7">
                  <c:v>8618.9540563929877</c:v>
                </c:pt>
                <c:pt idx="8">
                  <c:v>7853.1852055328782</c:v>
                </c:pt>
                <c:pt idx="9">
                  <c:v>7700.931035509464</c:v>
                </c:pt>
                <c:pt idx="10">
                  <c:v>8119.3286799822454</c:v>
                </c:pt>
                <c:pt idx="11">
                  <c:v>8643.2465402423641</c:v>
                </c:pt>
                <c:pt idx="12">
                  <c:v>9345.1985046020109</c:v>
                </c:pt>
                <c:pt idx="13">
                  <c:v>10020.752600659313</c:v>
                </c:pt>
                <c:pt idx="14">
                  <c:v>10628.434723363</c:v>
                </c:pt>
                <c:pt idx="15">
                  <c:v>11226.165030795621</c:v>
                </c:pt>
                <c:pt idx="16">
                  <c:v>11367.959959142432</c:v>
                </c:pt>
                <c:pt idx="17">
                  <c:v>10854.516130029104</c:v>
                </c:pt>
                <c:pt idx="18">
                  <c:v>9688.0502232640847</c:v>
                </c:pt>
                <c:pt idx="19">
                  <c:v>8576.9264407265182</c:v>
                </c:pt>
                <c:pt idx="20">
                  <c:v>7781.2152055584493</c:v>
                </c:pt>
                <c:pt idx="21">
                  <c:v>7613.3641368904337</c:v>
                </c:pt>
                <c:pt idx="22">
                  <c:v>7991.0891993394935</c:v>
                </c:pt>
                <c:pt idx="23">
                  <c:v>8518.007405024804</c:v>
                </c:pt>
                <c:pt idx="24">
                  <c:v>9256.8070597800142</c:v>
                </c:pt>
                <c:pt idx="25">
                  <c:v>9899.4168212792774</c:v>
                </c:pt>
                <c:pt idx="26">
                  <c:v>10511.775118190948</c:v>
                </c:pt>
                <c:pt idx="27">
                  <c:v>11066.351444386546</c:v>
                </c:pt>
                <c:pt idx="28">
                  <c:v>11196.411789447282</c:v>
                </c:pt>
                <c:pt idx="29">
                  <c:v>10706.264048059809</c:v>
                </c:pt>
                <c:pt idx="30">
                  <c:v>9551.05530403394</c:v>
                </c:pt>
                <c:pt idx="31">
                  <c:v>8444.0754629588773</c:v>
                </c:pt>
                <c:pt idx="32">
                  <c:v>7672.7940631912497</c:v>
                </c:pt>
                <c:pt idx="33">
                  <c:v>7534.5096632163304</c:v>
                </c:pt>
                <c:pt idx="34">
                  <c:v>7935.87371500469</c:v>
                </c:pt>
                <c:pt idx="35">
                  <c:v>8466.130292548356</c:v>
                </c:pt>
                <c:pt idx="36">
                  <c:v>9240.0485735656985</c:v>
                </c:pt>
                <c:pt idx="37">
                  <c:v>9933.6137851544518</c:v>
                </c:pt>
                <c:pt idx="38">
                  <c:v>10635.40697301189</c:v>
                </c:pt>
                <c:pt idx="39">
                  <c:v>11219.686175859746</c:v>
                </c:pt>
                <c:pt idx="40">
                  <c:v>11351.635380197906</c:v>
                </c:pt>
                <c:pt idx="41">
                  <c:v>10855.515463360101</c:v>
                </c:pt>
                <c:pt idx="42">
                  <c:v>9681.0422432915329</c:v>
                </c:pt>
                <c:pt idx="43">
                  <c:v>8548.0662227424091</c:v>
                </c:pt>
                <c:pt idx="44">
                  <c:v>7777.3659905532668</c:v>
                </c:pt>
                <c:pt idx="45">
                  <c:v>7669.2419293821104</c:v>
                </c:pt>
                <c:pt idx="46">
                  <c:v>8062.114649941509</c:v>
                </c:pt>
                <c:pt idx="47">
                  <c:v>8582.1752510786991</c:v>
                </c:pt>
                <c:pt idx="48">
                  <c:v>9387.5497485383858</c:v>
                </c:pt>
                <c:pt idx="49">
                  <c:v>10113.442127169708</c:v>
                </c:pt>
                <c:pt idx="50">
                  <c:v>10933.860892813562</c:v>
                </c:pt>
                <c:pt idx="51">
                  <c:v>11560.728199311136</c:v>
                </c:pt>
                <c:pt idx="52">
                  <c:v>11713.368406964093</c:v>
                </c:pt>
                <c:pt idx="53">
                  <c:v>11207.999591976655</c:v>
                </c:pt>
                <c:pt idx="54">
                  <c:v>10004.430496346473</c:v>
                </c:pt>
                <c:pt idx="55">
                  <c:v>8837.0421055040006</c:v>
                </c:pt>
                <c:pt idx="56">
                  <c:v>8031.6559760289692</c:v>
                </c:pt>
                <c:pt idx="57">
                  <c:v>7850.7732426646035</c:v>
                </c:pt>
                <c:pt idx="58">
                  <c:v>8242.684402668152</c:v>
                </c:pt>
                <c:pt idx="59">
                  <c:v>8735.6141096297906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0-4AAB-9D0C-45639A8561D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3'!$E$5:$E$64</c:f>
              <c:numCache>
                <c:formatCode>#,##0\ _)</c:formatCode>
                <c:ptCount val="60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  <c:pt idx="13">
                  <c:v>18538.071</c:v>
                </c:pt>
                <c:pt idx="14">
                  <c:v>18538.071</c:v>
                </c:pt>
                <c:pt idx="15">
                  <c:v>18538.071</c:v>
                </c:pt>
                <c:pt idx="16">
                  <c:v>18538.071</c:v>
                </c:pt>
                <c:pt idx="17">
                  <c:v>18538.071</c:v>
                </c:pt>
                <c:pt idx="18">
                  <c:v>18538.071</c:v>
                </c:pt>
                <c:pt idx="19">
                  <c:v>18538.071</c:v>
                </c:pt>
                <c:pt idx="20">
                  <c:v>18538.071</c:v>
                </c:pt>
                <c:pt idx="21">
                  <c:v>18538.071</c:v>
                </c:pt>
                <c:pt idx="22">
                  <c:v>18538.071</c:v>
                </c:pt>
                <c:pt idx="23">
                  <c:v>18538.071</c:v>
                </c:pt>
                <c:pt idx="24">
                  <c:v>18538.071</c:v>
                </c:pt>
                <c:pt idx="25">
                  <c:v>18538.071</c:v>
                </c:pt>
                <c:pt idx="26">
                  <c:v>18538.071</c:v>
                </c:pt>
                <c:pt idx="27">
                  <c:v>18538.071</c:v>
                </c:pt>
                <c:pt idx="28">
                  <c:v>18538.071</c:v>
                </c:pt>
                <c:pt idx="29">
                  <c:v>18538.071</c:v>
                </c:pt>
                <c:pt idx="30">
                  <c:v>18538.071</c:v>
                </c:pt>
                <c:pt idx="31">
                  <c:v>18538.071</c:v>
                </c:pt>
                <c:pt idx="32">
                  <c:v>18538.071</c:v>
                </c:pt>
                <c:pt idx="33">
                  <c:v>18538.071</c:v>
                </c:pt>
                <c:pt idx="34">
                  <c:v>18538.071</c:v>
                </c:pt>
                <c:pt idx="35">
                  <c:v>18538.071</c:v>
                </c:pt>
                <c:pt idx="36">
                  <c:v>18538.071</c:v>
                </c:pt>
                <c:pt idx="37">
                  <c:v>18538.071</c:v>
                </c:pt>
                <c:pt idx="38">
                  <c:v>18538.071</c:v>
                </c:pt>
                <c:pt idx="39">
                  <c:v>18538.071</c:v>
                </c:pt>
                <c:pt idx="40">
                  <c:v>18538.071</c:v>
                </c:pt>
                <c:pt idx="41">
                  <c:v>18538.071</c:v>
                </c:pt>
                <c:pt idx="42">
                  <c:v>18538.071</c:v>
                </c:pt>
                <c:pt idx="43">
                  <c:v>18538.071</c:v>
                </c:pt>
                <c:pt idx="44">
                  <c:v>18538.071</c:v>
                </c:pt>
                <c:pt idx="45">
                  <c:v>18538.071</c:v>
                </c:pt>
                <c:pt idx="46">
                  <c:v>18538.071</c:v>
                </c:pt>
                <c:pt idx="47">
                  <c:v>18538.071</c:v>
                </c:pt>
                <c:pt idx="48">
                  <c:v>18538.071</c:v>
                </c:pt>
                <c:pt idx="49">
                  <c:v>18538.071</c:v>
                </c:pt>
                <c:pt idx="50">
                  <c:v>18538.071</c:v>
                </c:pt>
                <c:pt idx="51">
                  <c:v>18538.071</c:v>
                </c:pt>
                <c:pt idx="52">
                  <c:v>18538.071</c:v>
                </c:pt>
                <c:pt idx="53">
                  <c:v>18538.071</c:v>
                </c:pt>
                <c:pt idx="54">
                  <c:v>18538.071</c:v>
                </c:pt>
                <c:pt idx="55">
                  <c:v>18538.071</c:v>
                </c:pt>
                <c:pt idx="56">
                  <c:v>18538.071</c:v>
                </c:pt>
                <c:pt idx="57">
                  <c:v>18538.071</c:v>
                </c:pt>
                <c:pt idx="58">
                  <c:v>18538.071</c:v>
                </c:pt>
                <c:pt idx="59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0-4AAB-9D0C-45639A8561D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3'!$D$5:$D$64</c:f>
              <c:numCache>
                <c:formatCode>#,##0</c:formatCode>
                <c:ptCount val="60"/>
                <c:pt idx="0">
                  <c:v>7030.3147235812303</c:v>
                </c:pt>
                <c:pt idx="1">
                  <c:v>6849.7365063100897</c:v>
                </c:pt>
                <c:pt idx="2">
                  <c:v>7242.5224796164302</c:v>
                </c:pt>
                <c:pt idx="3">
                  <c:v>7896.3920571419603</c:v>
                </c:pt>
                <c:pt idx="4">
                  <c:v>7862.6649207238397</c:v>
                </c:pt>
                <c:pt idx="5">
                  <c:v>7336.6756913938698</c:v>
                </c:pt>
                <c:pt idx="6">
                  <c:v>6503.7333101836002</c:v>
                </c:pt>
                <c:pt idx="7">
                  <c:v>5663.3995666707096</c:v>
                </c:pt>
                <c:pt idx="8">
                  <c:v>4854.8048105114403</c:v>
                </c:pt>
                <c:pt idx="9">
                  <c:v>4989.2516276194901</c:v>
                </c:pt>
                <c:pt idx="10">
                  <c:v>5789.2389871449896</c:v>
                </c:pt>
                <c:pt idx="11">
                  <c:v>8226.3793556488708</c:v>
                </c:pt>
                <c:pt idx="12">
                  <c:v>10223.608293560101</c:v>
                </c:pt>
                <c:pt idx="13">
                  <c:v>9799.5666123993706</c:v>
                </c:pt>
                <c:pt idx="14">
                  <c:v>10212.192476558999</c:v>
                </c:pt>
                <c:pt idx="15">
                  <c:v>9885.1331418185291</c:v>
                </c:pt>
                <c:pt idx="16">
                  <c:v>9365.4005860970192</c:v>
                </c:pt>
                <c:pt idx="17">
                  <c:v>9135.7508606141801</c:v>
                </c:pt>
                <c:pt idx="18">
                  <c:v>8175.9128053970835</c:v>
                </c:pt>
                <c:pt idx="19">
                  <c:v>7267.4230046471803</c:v>
                </c:pt>
                <c:pt idx="20">
                  <c:v>7008.4596426560602</c:v>
                </c:pt>
                <c:pt idx="21">
                  <c:v>7614.13469651794</c:v>
                </c:pt>
                <c:pt idx="22">
                  <c:v>9142.8206733039697</c:v>
                </c:pt>
                <c:pt idx="23">
                  <c:v>9446.2258304710394</c:v>
                </c:pt>
                <c:pt idx="24">
                  <c:v>10688.2040657137</c:v>
                </c:pt>
                <c:pt idx="25">
                  <c:v>11221.4886575035</c:v>
                </c:pt>
                <c:pt idx="26">
                  <c:v>13037.077126418901</c:v>
                </c:pt>
                <c:pt idx="27">
                  <c:v>13948.444329464</c:v>
                </c:pt>
                <c:pt idx="28">
                  <c:v>14172.663355012501</c:v>
                </c:pt>
                <c:pt idx="29">
                  <c:v>13422.185926005801</c:v>
                </c:pt>
                <c:pt idx="30">
                  <c:v>11989.9537651518</c:v>
                </c:pt>
                <c:pt idx="31">
                  <c:v>10414.1239856706</c:v>
                </c:pt>
                <c:pt idx="32">
                  <c:v>9721.2123072402792</c:v>
                </c:pt>
                <c:pt idx="33">
                  <c:v>10172.0387333156</c:v>
                </c:pt>
                <c:pt idx="34">
                  <c:v>9729.7201887363699</c:v>
                </c:pt>
                <c:pt idx="35">
                  <c:v>9697.9008206068702</c:v>
                </c:pt>
                <c:pt idx="36">
                  <c:v>10662.1502703717</c:v>
                </c:pt>
                <c:pt idx="37">
                  <c:v>11118.121739063799</c:v>
                </c:pt>
                <c:pt idx="38">
                  <c:v>13574.769505443999</c:v>
                </c:pt>
                <c:pt idx="39">
                  <c:v>14969.985800696601</c:v>
                </c:pt>
                <c:pt idx="40">
                  <c:v>15463.717740821099</c:v>
                </c:pt>
                <c:pt idx="41">
                  <c:v>14590.258003320499</c:v>
                </c:pt>
                <c:pt idx="42">
                  <c:v>13127.2878467726</c:v>
                </c:pt>
                <c:pt idx="43">
                  <c:v>11592.3052743925</c:v>
                </c:pt>
                <c:pt idx="44">
                  <c:v>10461.9403252879</c:v>
                </c:pt>
                <c:pt idx="45">
                  <c:v>9269.4509272739197</c:v>
                </c:pt>
                <c:pt idx="46">
                  <c:v>9715.8772375052595</c:v>
                </c:pt>
                <c:pt idx="47">
                  <c:v>9727.3064663853402</c:v>
                </c:pt>
                <c:pt idx="48">
                  <c:v>10759.7257365845</c:v>
                </c:pt>
                <c:pt idx="49">
                  <c:v>15394.489470935299</c:v>
                </c:pt>
                <c:pt idx="50">
                  <c:v>15166.1369514669</c:v>
                </c:pt>
                <c:pt idx="51">
                  <c:v>15285.430259717399</c:v>
                </c:pt>
                <c:pt idx="52">
                  <c:v>15302.1163131225</c:v>
                </c:pt>
                <c:pt idx="53">
                  <c:v>14187.375105708999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9688"/>
        <c:axId val="707460080"/>
      </c:lineChart>
      <c:lineChart>
        <c:grouping val="standard"/>
        <c:varyColors val="0"/>
        <c:ser>
          <c:idx val="5"/>
          <c:order val="5"/>
          <c:tx>
            <c:strRef>
              <c:f>'Data 3'!$I$4</c:f>
              <c:strCache>
                <c:ptCount val="1"/>
                <c:pt idx="0">
                  <c:v>% Llenado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3'!$I$5:$I$64</c:f>
              <c:numCache>
                <c:formatCode>0.0</c:formatCode>
                <c:ptCount val="60"/>
                <c:pt idx="0">
                  <c:v>37.923658419375087</c:v>
                </c:pt>
                <c:pt idx="1">
                  <c:v>36.949564527561094</c:v>
                </c:pt>
                <c:pt idx="2">
                  <c:v>39.068371674789844</c:v>
                </c:pt>
                <c:pt idx="3">
                  <c:v>42.595543285717049</c:v>
                </c:pt>
                <c:pt idx="4">
                  <c:v>42.413608841631039</c:v>
                </c:pt>
                <c:pt idx="5">
                  <c:v>39.576262769701714</c:v>
                </c:pt>
                <c:pt idx="6">
                  <c:v>35.083117926258886</c:v>
                </c:pt>
                <c:pt idx="7">
                  <c:v>30.550101823812785</c:v>
                </c:pt>
                <c:pt idx="8">
                  <c:v>26.188295483987741</c:v>
                </c:pt>
                <c:pt idx="9">
                  <c:v>26.913542555854331</c:v>
                </c:pt>
                <c:pt idx="10">
                  <c:v>31.228917977199405</c:v>
                </c:pt>
                <c:pt idx="11">
                  <c:v>44.375595258259992</c:v>
                </c:pt>
                <c:pt idx="12">
                  <c:v>55.149256325321552</c:v>
                </c:pt>
                <c:pt idx="13">
                  <c:v>52.861846372253993</c:v>
                </c:pt>
                <c:pt idx="14">
                  <c:v>55.087675932188404</c:v>
                </c:pt>
                <c:pt idx="15">
                  <c:v>53.323418287795576</c:v>
                </c:pt>
                <c:pt idx="16">
                  <c:v>50.51982261852929</c:v>
                </c:pt>
                <c:pt idx="17">
                  <c:v>49.281022068661727</c:v>
                </c:pt>
                <c:pt idx="18">
                  <c:v>44.103363318638081</c:v>
                </c:pt>
                <c:pt idx="19">
                  <c:v>39.202692689261895</c:v>
                </c:pt>
                <c:pt idx="20">
                  <c:v>37.805765457776381</c:v>
                </c:pt>
                <c:pt idx="21">
                  <c:v>41.07296113235266</c:v>
                </c:pt>
                <c:pt idx="22">
                  <c:v>49.319158791138349</c:v>
                </c:pt>
                <c:pt idx="23">
                  <c:v>50.955818598769199</c:v>
                </c:pt>
                <c:pt idx="24">
                  <c:v>57.655427394326523</c:v>
                </c:pt>
                <c:pt idx="25">
                  <c:v>60.532126872874201</c:v>
                </c:pt>
                <c:pt idx="26">
                  <c:v>70.325963938852652</c:v>
                </c:pt>
                <c:pt idx="27">
                  <c:v>75.242156152406579</c:v>
                </c:pt>
                <c:pt idx="28">
                  <c:v>76.451661853126467</c:v>
                </c:pt>
                <c:pt idx="29">
                  <c:v>72.403358073263405</c:v>
                </c:pt>
                <c:pt idx="30">
                  <c:v>64.677461668756152</c:v>
                </c:pt>
                <c:pt idx="31">
                  <c:v>56.176955982478439</c:v>
                </c:pt>
                <c:pt idx="32">
                  <c:v>52.439179390564853</c:v>
                </c:pt>
                <c:pt idx="33">
                  <c:v>54.871074413921491</c:v>
                </c:pt>
                <c:pt idx="34">
                  <c:v>52.485073494088837</c:v>
                </c:pt>
                <c:pt idx="35">
                  <c:v>52.313430133085959</c:v>
                </c:pt>
                <c:pt idx="36">
                  <c:v>57.514885288613357</c:v>
                </c:pt>
                <c:pt idx="37">
                  <c:v>59.974534238561283</c:v>
                </c:pt>
                <c:pt idx="38">
                  <c:v>73.226440363962354</c:v>
                </c:pt>
                <c:pt idx="39">
                  <c:v>80.752661917718413</c:v>
                </c:pt>
                <c:pt idx="40">
                  <c:v>83.416002349009773</c:v>
                </c:pt>
                <c:pt idx="41">
                  <c:v>78.704294547801112</c:v>
                </c:pt>
                <c:pt idx="42">
                  <c:v>70.812588034497224</c:v>
                </c:pt>
                <c:pt idx="43">
                  <c:v>62.532424621701466</c:v>
                </c:pt>
                <c:pt idx="44">
                  <c:v>56.434891878922564</c:v>
                </c:pt>
                <c:pt idx="45">
                  <c:v>50.002240941217238</c:v>
                </c:pt>
                <c:pt idx="46">
                  <c:v>52.410400399832646</c:v>
                </c:pt>
                <c:pt idx="47">
                  <c:v>52.472053140725052</c:v>
                </c:pt>
                <c:pt idx="48">
                  <c:v>58.041237066059892</c:v>
                </c:pt>
                <c:pt idx="49">
                  <c:v>83.042563980552771</c:v>
                </c:pt>
                <c:pt idx="50">
                  <c:v>81.81076095493917</c:v>
                </c:pt>
                <c:pt idx="51">
                  <c:v>82.454265385634784</c:v>
                </c:pt>
                <c:pt idx="52">
                  <c:v>82.544275038770223</c:v>
                </c:pt>
                <c:pt idx="53">
                  <c:v>76.531021516256999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60864"/>
        <c:axId val="707460472"/>
      </c:lineChart>
      <c:catAx>
        <c:axId val="70745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6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60080"/>
        <c:scaling>
          <c:orientation val="minMax"/>
          <c:max val="19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2761583373506884E-2"/>
              <c:y val="4.9973117481983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9688"/>
        <c:crosses val="autoZero"/>
        <c:crossBetween val="between"/>
        <c:majorUnit val="2000"/>
      </c:valAx>
      <c:valAx>
        <c:axId val="7074604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707460864"/>
        <c:crosses val="max"/>
        <c:crossBetween val="between"/>
      </c:valAx>
      <c:catAx>
        <c:axId val="707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460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4750477618869E-2"/>
          <c:y val="2.3175697551620467E-2"/>
          <c:w val="0.87877672433802922"/>
          <c:h val="0.10752485532510238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03888799612E-2"/>
          <c:y val="0.14247647890167575"/>
          <c:w val="0.83628577856339403"/>
          <c:h val="0.7828558489012403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D3-46A2-BE10-65CF95F08CB2}"/>
                </c:ext>
              </c:extLst>
            </c:dLbl>
            <c:dLbl>
              <c:idx val="1"/>
              <c:layout>
                <c:manualLayout>
                  <c:x val="0.77103802024746904"/>
                  <c:y val="-5.12820512820512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FFF-9C73-D4129146A1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Dat_01!$H$34:$H$35</c:f>
              <c:strCache>
                <c:ptCount val="2"/>
                <c:pt idx="0">
                  <c:v>Turbinación bombeo</c:v>
                </c:pt>
                <c:pt idx="1">
                  <c:v>Baterías</c:v>
                </c:pt>
              </c:strCache>
            </c:strRef>
          </c:cat>
          <c:val>
            <c:numRef>
              <c:f>Dat_01!$J$34:$J$35</c:f>
              <c:numCache>
                <c:formatCode>0.00%</c:formatCode>
                <c:ptCount val="2"/>
                <c:pt idx="0">
                  <c:v>0.93922683880754376</c:v>
                </c:pt>
                <c:pt idx="1">
                  <c:v>6.0773161192456314E-2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6E-4800-8ACC-BDA948267E7D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Dat_01!$M$34:$M$35</c:f>
              <c:numCache>
                <c:formatCode>0.00%</c:formatCode>
                <c:ptCount val="2"/>
                <c:pt idx="0">
                  <c:v>6.0773161192456238E-2</c:v>
                </c:pt>
                <c:pt idx="1">
                  <c:v>0.93922683880754365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6-4FFF-9C73-D4129146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Dat_01!$A$306</c:f>
              <c:strCache>
                <c:ptCount val="1"/>
                <c:pt idx="0">
                  <c:v>Entregas a la red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Dat_01!$B$306:$N$306</c:f>
              <c:numCache>
                <c:formatCode>#,##0</c:formatCode>
                <c:ptCount val="13"/>
                <c:pt idx="0">
                  <c:v>477.817418584</c:v>
                </c:pt>
                <c:pt idx="1">
                  <c:v>535.56512943099995</c:v>
                </c:pt>
                <c:pt idx="2">
                  <c:v>576.28358484199998</c:v>
                </c:pt>
                <c:pt idx="3">
                  <c:v>539.89328399999999</c:v>
                </c:pt>
                <c:pt idx="4">
                  <c:v>494.39634356400001</c:v>
                </c:pt>
                <c:pt idx="5">
                  <c:v>465.84078444800002</c:v>
                </c:pt>
                <c:pt idx="6">
                  <c:v>374.48895605199999</c:v>
                </c:pt>
                <c:pt idx="7">
                  <c:v>433.50466931099999</c:v>
                </c:pt>
                <c:pt idx="8">
                  <c:v>479.94957902100003</c:v>
                </c:pt>
                <c:pt idx="9">
                  <c:v>593.97790391900003</c:v>
                </c:pt>
                <c:pt idx="10">
                  <c:v>716.35783475699998</c:v>
                </c:pt>
                <c:pt idx="11">
                  <c:v>699.04958490799993</c:v>
                </c:pt>
                <c:pt idx="12" formatCode="#,##0.0">
                  <c:v>633.88271260400006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2-B03D-E3FFA37C7528}"/>
            </c:ext>
          </c:extLst>
        </c:ser>
        <c:ser>
          <c:idx val="5"/>
          <c:order val="1"/>
          <c:tx>
            <c:strRef>
              <c:f>Dat_01!$A$309</c:f>
              <c:strCache>
                <c:ptCount val="1"/>
                <c:pt idx="0">
                  <c:v>Tomas de la red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Dat_01!$B$309:$N$309</c:f>
              <c:numCache>
                <c:formatCode>#,##0</c:formatCode>
                <c:ptCount val="13"/>
                <c:pt idx="0">
                  <c:v>-719.52636588199994</c:v>
                </c:pt>
                <c:pt idx="1">
                  <c:v>-804.22140597099997</c:v>
                </c:pt>
                <c:pt idx="2">
                  <c:v>-847.08022435999999</c:v>
                </c:pt>
                <c:pt idx="3">
                  <c:v>-801.11047199200004</c:v>
                </c:pt>
                <c:pt idx="4">
                  <c:v>-742.93815890500002</c:v>
                </c:pt>
                <c:pt idx="5">
                  <c:v>-745.46995528100001</c:v>
                </c:pt>
                <c:pt idx="6">
                  <c:v>-554.63669656599996</c:v>
                </c:pt>
                <c:pt idx="7">
                  <c:v>-751.90872719900005</c:v>
                </c:pt>
                <c:pt idx="8">
                  <c:v>-917.371531</c:v>
                </c:pt>
                <c:pt idx="9">
                  <c:v>-900.33836018199997</c:v>
                </c:pt>
                <c:pt idx="10">
                  <c:v>-1043.5246679479999</c:v>
                </c:pt>
                <c:pt idx="11">
                  <c:v>-1098.5305006399999</c:v>
                </c:pt>
                <c:pt idx="12" formatCode="#,##0.0">
                  <c:v>-1000.868978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2"/>
          <c:tx>
            <c:strRef>
              <c:f>Dat_01!$A$310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Dat_01!$B$302:$N$302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Dat_01!$B$310:$N$310</c:f>
              <c:numCache>
                <c:formatCode>#,##0</c:formatCode>
                <c:ptCount val="13"/>
                <c:pt idx="0">
                  <c:v>-241.70894729799994</c:v>
                </c:pt>
                <c:pt idx="1">
                  <c:v>-268.65627654000002</c:v>
                </c:pt>
                <c:pt idx="2">
                  <c:v>-270.79663951800001</c:v>
                </c:pt>
                <c:pt idx="3">
                  <c:v>-261.21718799200005</c:v>
                </c:pt>
                <c:pt idx="4">
                  <c:v>-248.54181534100002</c:v>
                </c:pt>
                <c:pt idx="5">
                  <c:v>-279.62917083299999</c:v>
                </c:pt>
                <c:pt idx="6">
                  <c:v>-180.14774051399996</c:v>
                </c:pt>
                <c:pt idx="7">
                  <c:v>-318.40405788800007</c:v>
                </c:pt>
                <c:pt idx="8">
                  <c:v>-437.42195197899997</c:v>
                </c:pt>
                <c:pt idx="9">
                  <c:v>-306.36045626299995</c:v>
                </c:pt>
                <c:pt idx="10">
                  <c:v>-327.16683319099991</c:v>
                </c:pt>
                <c:pt idx="11">
                  <c:v>-399.48091573199997</c:v>
                </c:pt>
                <c:pt idx="12" formatCode="#,##0.0">
                  <c:v>-366.98626539599991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443612289305078"/>
          <c:y val="1.9083847627154715E-2"/>
          <c:w val="0.55809015053579625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Dat_01!$A$136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Dat_01!$N$136:$Z$136</c:f>
              <c:numCache>
                <c:formatCode>#,##0.0</c:formatCode>
                <c:ptCount val="13"/>
                <c:pt idx="0">
                  <c:v>477.09177458400001</c:v>
                </c:pt>
                <c:pt idx="1">
                  <c:v>534.74221343099998</c:v>
                </c:pt>
                <c:pt idx="2">
                  <c:v>575.76965884200001</c:v>
                </c:pt>
                <c:pt idx="3">
                  <c:v>539.29246899999998</c:v>
                </c:pt>
                <c:pt idx="4">
                  <c:v>493.89782556400002</c:v>
                </c:pt>
                <c:pt idx="5">
                  <c:v>465.338452448</c:v>
                </c:pt>
                <c:pt idx="6">
                  <c:v>373.691896052</c:v>
                </c:pt>
                <c:pt idx="7">
                  <c:v>432.58889631099998</c:v>
                </c:pt>
                <c:pt idx="8">
                  <c:v>478.85306402100002</c:v>
                </c:pt>
                <c:pt idx="9">
                  <c:v>592.49212291900005</c:v>
                </c:pt>
                <c:pt idx="10">
                  <c:v>714.93459475700001</c:v>
                </c:pt>
                <c:pt idx="11">
                  <c:v>697.54920490799998</c:v>
                </c:pt>
                <c:pt idx="12">
                  <c:v>632.53847960400003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11A-9FC2-7EC87B08C31E}"/>
            </c:ext>
          </c:extLst>
        </c:ser>
        <c:ser>
          <c:idx val="3"/>
          <c:order val="1"/>
          <c:tx>
            <c:strRef>
              <c:f>Dat_01!$A$137</c:f>
              <c:strCache>
                <c:ptCount val="1"/>
                <c:pt idx="0">
                  <c:v>Consumo de bombeo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Dat_01!$N$137:$Z$137</c:f>
              <c:numCache>
                <c:formatCode>#,##0.0</c:formatCode>
                <c:ptCount val="13"/>
                <c:pt idx="0">
                  <c:v>-718.62000988199998</c:v>
                </c:pt>
                <c:pt idx="1">
                  <c:v>-803.21347497099998</c:v>
                </c:pt>
                <c:pt idx="2">
                  <c:v>-846.41290735999996</c:v>
                </c:pt>
                <c:pt idx="3">
                  <c:v>-800.34021899200002</c:v>
                </c:pt>
                <c:pt idx="4">
                  <c:v>-742.29389290500001</c:v>
                </c:pt>
                <c:pt idx="5">
                  <c:v>-744.83186728099997</c:v>
                </c:pt>
                <c:pt idx="6">
                  <c:v>-553.64316556599999</c:v>
                </c:pt>
                <c:pt idx="7">
                  <c:v>-750.778886199</c:v>
                </c:pt>
                <c:pt idx="8">
                  <c:v>-916.09621200000004</c:v>
                </c:pt>
                <c:pt idx="9">
                  <c:v>-898.57029618199999</c:v>
                </c:pt>
                <c:pt idx="10">
                  <c:v>-1041.8250329479999</c:v>
                </c:pt>
                <c:pt idx="11">
                  <c:v>-1096.7325026399999</c:v>
                </c:pt>
                <c:pt idx="12">
                  <c:v>-999.24857099999997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1-411A-9FC2-7EC87B08C31E}"/>
            </c:ext>
          </c:extLst>
        </c:ser>
        <c:ser>
          <c:idx val="5"/>
          <c:order val="2"/>
          <c:tx>
            <c:strRef>
              <c:f>Dat_01!$A$138</c:f>
              <c:strCache>
                <c:ptCount val="1"/>
                <c:pt idx="0">
                  <c:v>Entrega batería</c:v>
                </c:pt>
              </c:strCache>
            </c:strRef>
          </c:tx>
          <c:spPr>
            <a:solidFill>
              <a:srgbClr val="03738B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Dat_01!$N$138:$Z$138</c:f>
              <c:numCache>
                <c:formatCode>#,##0.0</c:formatCode>
                <c:ptCount val="13"/>
                <c:pt idx="0">
                  <c:v>0.72564399999999996</c:v>
                </c:pt>
                <c:pt idx="1">
                  <c:v>0.82291599999999998</c:v>
                </c:pt>
                <c:pt idx="2">
                  <c:v>0.51392599999999999</c:v>
                </c:pt>
                <c:pt idx="3">
                  <c:v>0.60081499999999999</c:v>
                </c:pt>
                <c:pt idx="4">
                  <c:v>0.49851800000000002</c:v>
                </c:pt>
                <c:pt idx="5">
                  <c:v>0.502332</c:v>
                </c:pt>
                <c:pt idx="6">
                  <c:v>0.79705999999999999</c:v>
                </c:pt>
                <c:pt idx="7">
                  <c:v>0.91577299999999995</c:v>
                </c:pt>
                <c:pt idx="8">
                  <c:v>1.0965149999999999</c:v>
                </c:pt>
                <c:pt idx="9">
                  <c:v>1.485781</c:v>
                </c:pt>
                <c:pt idx="10">
                  <c:v>1.4232400000000001</c:v>
                </c:pt>
                <c:pt idx="11">
                  <c:v>1.50038</c:v>
                </c:pt>
                <c:pt idx="12">
                  <c:v>1.344233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1-411A-9FC2-7EC87B08C31E}"/>
            </c:ext>
          </c:extLst>
        </c:ser>
        <c:ser>
          <c:idx val="4"/>
          <c:order val="3"/>
          <c:tx>
            <c:strRef>
              <c:f>Dat_01!$A$139</c:f>
              <c:strCache>
                <c:ptCount val="1"/>
                <c:pt idx="0">
                  <c:v>Carga batería</c:v>
                </c:pt>
              </c:strCache>
            </c:strRef>
          </c:tx>
          <c:spPr>
            <a:solidFill>
              <a:srgbClr val="08B2AD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Dat_01!$N$139:$Z$139</c:f>
              <c:numCache>
                <c:formatCode>#,##0.0</c:formatCode>
                <c:ptCount val="13"/>
                <c:pt idx="0">
                  <c:v>-0.90635600000000005</c:v>
                </c:pt>
                <c:pt idx="1">
                  <c:v>-1.0079309999999999</c:v>
                </c:pt>
                <c:pt idx="2">
                  <c:v>-0.66731700000000005</c:v>
                </c:pt>
                <c:pt idx="3">
                  <c:v>-0.77025299999999997</c:v>
                </c:pt>
                <c:pt idx="4">
                  <c:v>-0.64426600000000001</c:v>
                </c:pt>
                <c:pt idx="5">
                  <c:v>-0.63808799999999999</c:v>
                </c:pt>
                <c:pt idx="6">
                  <c:v>-0.99353100000000005</c:v>
                </c:pt>
                <c:pt idx="7">
                  <c:v>-1.1298410000000001</c:v>
                </c:pt>
                <c:pt idx="8">
                  <c:v>-1.2753190000000001</c:v>
                </c:pt>
                <c:pt idx="9">
                  <c:v>-1.7680640000000001</c:v>
                </c:pt>
                <c:pt idx="10">
                  <c:v>-1.699635</c:v>
                </c:pt>
                <c:pt idx="11">
                  <c:v>-1.797998</c:v>
                </c:pt>
                <c:pt idx="12">
                  <c:v>-1.6204069999999999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Dat_01!$A$176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Dat_01!$B$176:$N$176</c:f>
              <c:numCache>
                <c:formatCode>0_)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40989041905719"/>
          <c:y val="1.9083847627154715E-2"/>
          <c:w val="0.8801163830097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1C1B-446F-8827-FDC6DBD8198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1C1B-446F-8827-FDC6DBD81982}"/>
              </c:ext>
            </c:extLst>
          </c:dPt>
          <c:dLbls>
            <c:dLbl>
              <c:idx val="0"/>
              <c:layout>
                <c:manualLayout>
                  <c:x val="0.15609756097560976"/>
                  <c:y val="-5.8078831186564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12357723577235773"/>
                  <c:y val="-3.9215686274509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8680699058959083"/>
                  <c:y val="1.641423498533262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18340695217975"/>
                      <c:h val="0.15914234985332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18402816721080584"/>
                  <c:y val="3.76100046317738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5528455284553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C1B-446F-8827-FDC6DBD81982}"/>
                </c:ext>
              </c:extLst>
            </c:dLbl>
            <c:dLbl>
              <c:idx val="4"/>
              <c:layout>
                <c:manualLayout>
                  <c:x val="0.1652063248191537"/>
                  <c:y val="8.3333719314497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0.17591383394148891"/>
                  <c:y val="0.1329957928053111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9369331679841"/>
                      <c:h val="0.1268683719448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3.4726073874911861E-2"/>
                  <c:y val="0.2170902809942872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00036356935459"/>
                      <c:h val="0.13522104895847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9.309487380428158E-2"/>
                  <c:y val="0.160957309664913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609756097561"/>
                      <c:h val="0.10485294117647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2708277318993663"/>
                  <c:y val="0.129906978539447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3739061791849075"/>
                  <c:y val="-0.116790714561256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6.954533909067824E-2"/>
                  <c:y val="-0.15273586118738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3658536585365855"/>
                  <c:y val="-0.13716982992732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30894308943089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C1B-446F-8827-FDC6DBD819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Dat_01!$A$51:$A$62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Dat_01!$C$51:$C$62</c:f>
              <c:numCache>
                <c:formatCode>#,##0.0</c:formatCode>
                <c:ptCount val="12"/>
                <c:pt idx="0">
                  <c:v>19.386348816950338</c:v>
                </c:pt>
                <c:pt idx="1">
                  <c:v>5.6862945107625844E-2</c:v>
                </c:pt>
                <c:pt idx="2">
                  <c:v>14.063309605962893</c:v>
                </c:pt>
                <c:pt idx="3">
                  <c:v>0.90957387128135136</c:v>
                </c:pt>
                <c:pt idx="4">
                  <c:v>4.922204191284246</c:v>
                </c:pt>
                <c:pt idx="5">
                  <c:v>0.31462980456246836</c:v>
                </c:pt>
                <c:pt idx="6">
                  <c:v>0.22137708992614802</c:v>
                </c:pt>
                <c:pt idx="7">
                  <c:v>16.290549109008989</c:v>
                </c:pt>
                <c:pt idx="8">
                  <c:v>9.1683935242682182</c:v>
                </c:pt>
                <c:pt idx="9">
                  <c:v>30.501636242585644</c:v>
                </c:pt>
                <c:pt idx="10">
                  <c:v>2.7061259340594614</c:v>
                </c:pt>
                <c:pt idx="11">
                  <c:v>1.4589888650026277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1A-45DA-A7D2-BB12F80986D8}"/>
                </c:ext>
              </c:extLst>
            </c:dLbl>
            <c:dLbl>
              <c:idx val="1"/>
              <c:layout>
                <c:manualLayout>
                  <c:x val="0.8062994330433708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2-4531-A582-2857F9150A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Dat_01!$J$51:$J$52</c:f>
              <c:numCache>
                <c:formatCode>0.00%</c:formatCode>
                <c:ptCount val="2"/>
                <c:pt idx="0">
                  <c:v>0.9978793663665666</c:v>
                </c:pt>
                <c:pt idx="1">
                  <c:v>2.1206336334333364E-3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2-4531-A582-2857F9150AB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Dat_01!$M$51:$M$52</c:f>
              <c:numCache>
                <c:formatCode>0.00%</c:formatCode>
                <c:ptCount val="2"/>
                <c:pt idx="0">
                  <c:v>2.1206336334333997E-3</c:v>
                </c:pt>
                <c:pt idx="1">
                  <c:v>0.99787936636656671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2-4531-A582-2857F91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04-489B-829A-922045446508}"/>
                </c:ext>
              </c:extLst>
            </c:dLbl>
            <c:dLbl>
              <c:idx val="1"/>
              <c:layout>
                <c:manualLayout>
                  <c:x val="0.81677652470924234"/>
                  <c:y val="6.59465305683819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8-496F-B938-EC7B8C43B7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Dat_01!$J$58:$J$59</c:f>
              <c:numCache>
                <c:formatCode>0.00%</c:formatCode>
                <c:ptCount val="2"/>
                <c:pt idx="0">
                  <c:v>0.99838099987549023</c:v>
                </c:pt>
                <c:pt idx="1">
                  <c:v>1.6190001245098037E-3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6F-B938-EC7B8C43B74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Dat_01!$M$58:$M$59</c:f>
              <c:numCache>
                <c:formatCode>0.00%</c:formatCode>
                <c:ptCount val="2"/>
                <c:pt idx="0">
                  <c:v>1.6190001245097729E-3</c:v>
                </c:pt>
                <c:pt idx="1">
                  <c:v>0.99838099987549023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8-496F-B938-EC7B8C43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6'!$A$10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6'!$B$10:$N$10</c:f>
              <c:numCache>
                <c:formatCode>#,##0.000</c:formatCode>
                <c:ptCount val="13"/>
                <c:pt idx="0">
                  <c:v>14.945349999999999</c:v>
                </c:pt>
                <c:pt idx="1">
                  <c:v>14.945349999999999</c:v>
                </c:pt>
                <c:pt idx="2">
                  <c:v>14.945349999999999</c:v>
                </c:pt>
                <c:pt idx="3">
                  <c:v>14.945349999999999</c:v>
                </c:pt>
                <c:pt idx="4">
                  <c:v>18.09535</c:v>
                </c:pt>
                <c:pt idx="5">
                  <c:v>18.105149999999998</c:v>
                </c:pt>
                <c:pt idx="6">
                  <c:v>18.105149999999998</c:v>
                </c:pt>
                <c:pt idx="7">
                  <c:v>18.105149999999998</c:v>
                </c:pt>
                <c:pt idx="8">
                  <c:v>18.105149999999998</c:v>
                </c:pt>
                <c:pt idx="9">
                  <c:v>18.105149999999998</c:v>
                </c:pt>
                <c:pt idx="10">
                  <c:v>18.105149999999998</c:v>
                </c:pt>
                <c:pt idx="11">
                  <c:v>18.135149999999999</c:v>
                </c:pt>
                <c:pt idx="12">
                  <c:v>18.135149999999999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8-431F-8A25-909DB439EF98}"/>
            </c:ext>
          </c:extLst>
        </c:ser>
        <c:ser>
          <c:idx val="0"/>
          <c:order val="1"/>
          <c:tx>
            <c:strRef>
              <c:f>'Data 6'!$A$9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6'!$B$9:$N$9</c:f>
              <c:numCache>
                <c:formatCode>#,##0.000</c:formatCode>
                <c:ptCount val="13"/>
                <c:pt idx="0">
                  <c:v>0.168735</c:v>
                </c:pt>
                <c:pt idx="1">
                  <c:v>0.168735</c:v>
                </c:pt>
                <c:pt idx="2">
                  <c:v>0.168735</c:v>
                </c:pt>
                <c:pt idx="3">
                  <c:v>0.168735</c:v>
                </c:pt>
                <c:pt idx="4">
                  <c:v>0.24573500000000001</c:v>
                </c:pt>
                <c:pt idx="5">
                  <c:v>0.34573500000000001</c:v>
                </c:pt>
                <c:pt idx="6">
                  <c:v>0.34573500000000001</c:v>
                </c:pt>
                <c:pt idx="7">
                  <c:v>0.34573500000000001</c:v>
                </c:pt>
                <c:pt idx="8">
                  <c:v>0.34573500000000001</c:v>
                </c:pt>
                <c:pt idx="9">
                  <c:v>0.34573500000000001</c:v>
                </c:pt>
                <c:pt idx="10">
                  <c:v>0.34573500000000001</c:v>
                </c:pt>
                <c:pt idx="11">
                  <c:v>0.34573500000000001</c:v>
                </c:pt>
                <c:pt idx="12">
                  <c:v>0.34573500000000001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8-431F-8A25-909DB439EF98}"/>
            </c:ext>
          </c:extLst>
        </c:ser>
        <c:ser>
          <c:idx val="1"/>
          <c:order val="2"/>
          <c:tx>
            <c:strRef>
              <c:f>'Data 6'!$A$14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6'!$B$14:$N$14</c:f>
              <c:numCache>
                <c:formatCode>#,##0.000</c:formatCode>
                <c:ptCount val="13"/>
                <c:pt idx="0">
                  <c:v>7649.5504360000004</c:v>
                </c:pt>
                <c:pt idx="1">
                  <c:v>7734.8241330000001</c:v>
                </c:pt>
                <c:pt idx="2">
                  <c:v>7895.3400840000004</c:v>
                </c:pt>
                <c:pt idx="3">
                  <c:v>8103.0480219999999</c:v>
                </c:pt>
                <c:pt idx="4">
                  <c:v>8200.6682230000006</c:v>
                </c:pt>
                <c:pt idx="5">
                  <c:v>8278.2396499999995</c:v>
                </c:pt>
                <c:pt idx="6">
                  <c:v>8472.2224139999998</c:v>
                </c:pt>
                <c:pt idx="7">
                  <c:v>8560.4872450000003</c:v>
                </c:pt>
                <c:pt idx="8">
                  <c:v>8629.2882229999996</c:v>
                </c:pt>
                <c:pt idx="9">
                  <c:v>8713.3628669999998</c:v>
                </c:pt>
                <c:pt idx="10">
                  <c:v>8784.6677259999997</c:v>
                </c:pt>
                <c:pt idx="11">
                  <c:v>8840.1490090000007</c:v>
                </c:pt>
                <c:pt idx="12">
                  <c:v>8960.7116800000003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8-431F-8A25-909DB439EF98}"/>
            </c:ext>
          </c:extLst>
        </c:ser>
        <c:ser>
          <c:idx val="3"/>
          <c:order val="3"/>
          <c:tx>
            <c:strRef>
              <c:f>'Data 6'!$A$15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6'!$B$15:$N$15</c:f>
              <c:numCache>
                <c:formatCode>#,##0.000</c:formatCode>
                <c:ptCount val="13"/>
                <c:pt idx="0">
                  <c:v>1.1065700000000001</c:v>
                </c:pt>
                <c:pt idx="1">
                  <c:v>1.1160699999999999</c:v>
                </c:pt>
                <c:pt idx="2">
                  <c:v>1.1160699999999999</c:v>
                </c:pt>
                <c:pt idx="3">
                  <c:v>1.12107</c:v>
                </c:pt>
                <c:pt idx="4">
                  <c:v>1.13107</c:v>
                </c:pt>
                <c:pt idx="5">
                  <c:v>1.1446700000000001</c:v>
                </c:pt>
                <c:pt idx="6">
                  <c:v>1.18652</c:v>
                </c:pt>
                <c:pt idx="7">
                  <c:v>1.20252</c:v>
                </c:pt>
                <c:pt idx="8">
                  <c:v>1.21652</c:v>
                </c:pt>
                <c:pt idx="9">
                  <c:v>1.2225200000000001</c:v>
                </c:pt>
                <c:pt idx="10">
                  <c:v>1.2345200000000001</c:v>
                </c:pt>
                <c:pt idx="11">
                  <c:v>1.2385200000000001</c:v>
                </c:pt>
                <c:pt idx="12">
                  <c:v>1.2505200000000001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8-431F-8A25-909DB439EF98}"/>
            </c:ext>
          </c:extLst>
        </c:ser>
        <c:ser>
          <c:idx val="6"/>
          <c:order val="4"/>
          <c:tx>
            <c:strRef>
              <c:f>'Data 6'!$A$8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6'!$B$8:$N$8</c:f>
              <c:numCache>
                <c:formatCode>#,##0.000</c:formatCode>
                <c:ptCount val="13"/>
                <c:pt idx="0">
                  <c:v>1586.144704</c:v>
                </c:pt>
                <c:pt idx="1">
                  <c:v>1578.455504</c:v>
                </c:pt>
                <c:pt idx="2">
                  <c:v>1578.4714039999999</c:v>
                </c:pt>
                <c:pt idx="3">
                  <c:v>1577.4839039999999</c:v>
                </c:pt>
                <c:pt idx="4">
                  <c:v>1577.4879040000001</c:v>
                </c:pt>
                <c:pt idx="5">
                  <c:v>1569.1569039999999</c:v>
                </c:pt>
                <c:pt idx="6">
                  <c:v>1563.960904</c:v>
                </c:pt>
                <c:pt idx="7">
                  <c:v>1648.0655039999999</c:v>
                </c:pt>
                <c:pt idx="8">
                  <c:v>1671.8155039999999</c:v>
                </c:pt>
                <c:pt idx="9">
                  <c:v>1638.946504</c:v>
                </c:pt>
                <c:pt idx="10">
                  <c:v>1638.946504</c:v>
                </c:pt>
                <c:pt idx="11">
                  <c:v>1639.772504</c:v>
                </c:pt>
                <c:pt idx="12">
                  <c:v>1631.399864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8-431F-8A25-909DB439EF98}"/>
            </c:ext>
          </c:extLst>
        </c:ser>
        <c:ser>
          <c:idx val="5"/>
          <c:order val="5"/>
          <c:tx>
            <c:strRef>
              <c:f>'Data 6'!$A$11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6'!$B$11:$N$11</c:f>
              <c:numCache>
                <c:formatCode>#,##0.000</c:formatCode>
                <c:ptCount val="13"/>
                <c:pt idx="0">
                  <c:v>300.01060000000001</c:v>
                </c:pt>
                <c:pt idx="1">
                  <c:v>301.3116</c:v>
                </c:pt>
                <c:pt idx="2">
                  <c:v>301.3116</c:v>
                </c:pt>
                <c:pt idx="3">
                  <c:v>301.3116</c:v>
                </c:pt>
                <c:pt idx="4">
                  <c:v>301.41160000000002</c:v>
                </c:pt>
                <c:pt idx="5">
                  <c:v>301.57159999999999</c:v>
                </c:pt>
                <c:pt idx="6">
                  <c:v>301.57159999999999</c:v>
                </c:pt>
                <c:pt idx="7">
                  <c:v>301.57159999999999</c:v>
                </c:pt>
                <c:pt idx="8">
                  <c:v>301.57159999999999</c:v>
                </c:pt>
                <c:pt idx="9">
                  <c:v>301.57159999999999</c:v>
                </c:pt>
                <c:pt idx="10">
                  <c:v>301.73160000000001</c:v>
                </c:pt>
                <c:pt idx="11">
                  <c:v>301.73160000000001</c:v>
                </c:pt>
                <c:pt idx="12">
                  <c:v>301.73160000000001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8-431F-8A25-909DB439EF98}"/>
            </c:ext>
          </c:extLst>
        </c:ser>
        <c:ser>
          <c:idx val="4"/>
          <c:order val="6"/>
          <c:tx>
            <c:strRef>
              <c:f>'Data 6'!$A$13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6'!$B$13:$N$13</c:f>
              <c:numCache>
                <c:formatCode>#,##0.000</c:formatCode>
                <c:ptCount val="13"/>
                <c:pt idx="0">
                  <c:v>32.142499999999998</c:v>
                </c:pt>
                <c:pt idx="1">
                  <c:v>32.142499999999998</c:v>
                </c:pt>
                <c:pt idx="2">
                  <c:v>32.142499999999998</c:v>
                </c:pt>
                <c:pt idx="3">
                  <c:v>32.142499999999998</c:v>
                </c:pt>
                <c:pt idx="4">
                  <c:v>32.142499999999998</c:v>
                </c:pt>
                <c:pt idx="5">
                  <c:v>32.142499999999998</c:v>
                </c:pt>
                <c:pt idx="6">
                  <c:v>32.142499999999998</c:v>
                </c:pt>
                <c:pt idx="7">
                  <c:v>32.142499999999998</c:v>
                </c:pt>
                <c:pt idx="8">
                  <c:v>32.142499999999998</c:v>
                </c:pt>
                <c:pt idx="9">
                  <c:v>32.142499999999998</c:v>
                </c:pt>
                <c:pt idx="10">
                  <c:v>32.142499999999998</c:v>
                </c:pt>
                <c:pt idx="11">
                  <c:v>32.142499999999998</c:v>
                </c:pt>
                <c:pt idx="12">
                  <c:v>32.142499999999998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8-431F-8A25-909DB439EF98}"/>
            </c:ext>
          </c:extLst>
        </c:ser>
        <c:ser>
          <c:idx val="8"/>
          <c:order val="7"/>
          <c:tx>
            <c:strRef>
              <c:f>'Data 6'!$A$12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6'!$B$12:$N$12</c:f>
              <c:numCache>
                <c:formatCode>#,##0.000</c:formatCode>
                <c:ptCount val="13"/>
                <c:pt idx="0">
                  <c:v>103.80074999999999</c:v>
                </c:pt>
                <c:pt idx="1">
                  <c:v>103.80074999999999</c:v>
                </c:pt>
                <c:pt idx="2">
                  <c:v>103.80074999999999</c:v>
                </c:pt>
                <c:pt idx="3">
                  <c:v>103.80074999999999</c:v>
                </c:pt>
                <c:pt idx="4">
                  <c:v>103.80074999999999</c:v>
                </c:pt>
                <c:pt idx="5">
                  <c:v>103.80074999999999</c:v>
                </c:pt>
                <c:pt idx="6">
                  <c:v>103.80074999999999</c:v>
                </c:pt>
                <c:pt idx="7">
                  <c:v>103.80074999999999</c:v>
                </c:pt>
                <c:pt idx="8">
                  <c:v>103.80074999999999</c:v>
                </c:pt>
                <c:pt idx="9">
                  <c:v>103.80074999999999</c:v>
                </c:pt>
                <c:pt idx="10">
                  <c:v>103.80074999999999</c:v>
                </c:pt>
                <c:pt idx="11">
                  <c:v>103.80074999999999</c:v>
                </c:pt>
                <c:pt idx="12">
                  <c:v>103.80074999999999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8-431F-8A25-909DB439EF98}"/>
            </c:ext>
          </c:extLst>
        </c:ser>
        <c:ser>
          <c:idx val="7"/>
          <c:order val="8"/>
          <c:tx>
            <c:strRef>
              <c:f>'Data 6'!$A$16</c:f>
              <c:strCache>
                <c:ptCount val="1"/>
                <c:pt idx="0">
                  <c:v>Baterías</c:v>
                </c:pt>
              </c:strCache>
            </c:strRef>
          </c:tx>
          <c:spPr>
            <a:solidFill>
              <a:srgbClr val="03738B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6'!$B$16:$N$16</c:f>
              <c:numCache>
                <c:formatCode>#,##0.000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8-431F-8A25-909DB439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90955611109894341"/>
          <c:h val="0.1128098483487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25394101661679E-2"/>
          <c:y val="9.7113684534203104E-2"/>
          <c:w val="0.87301901477486465"/>
          <c:h val="0.864931527910475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6'!$C$75</c:f>
              <c:strCache>
                <c:ptCount val="1"/>
                <c:pt idx="0">
                  <c:v>Vertida GWh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2-42DE-AABD-D6AB32727C94}"/>
              </c:ext>
            </c:extLst>
          </c:dPt>
          <c:dPt>
            <c:idx val="1"/>
            <c:invertIfNegative val="0"/>
            <c:bubble3D val="0"/>
            <c:spPr>
              <a:solidFill>
                <a:srgbClr val="CFA2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02-42DE-AABD-D6AB32727C94}"/>
              </c:ext>
            </c:extLst>
          </c:dPt>
          <c:dPt>
            <c:idx val="2"/>
            <c:invertIfNegative val="0"/>
            <c:bubble3D val="0"/>
            <c:spPr>
              <a:solidFill>
                <a:srgbClr val="8C5D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02-42DE-AABD-D6AB32727C94}"/>
              </c:ext>
            </c:extLst>
          </c:dPt>
          <c:dPt>
            <c:idx val="3"/>
            <c:invertIfNegative val="0"/>
            <c:bubble3D val="0"/>
            <c:spPr>
              <a:solidFill>
                <a:srgbClr val="6666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02-42DE-AABD-D6AB32727C94}"/>
              </c:ext>
            </c:extLst>
          </c:dPt>
          <c:dPt>
            <c:idx val="4"/>
            <c:invertIfNegative val="0"/>
            <c:bubble3D val="0"/>
            <c:spPr>
              <a:solidFill>
                <a:srgbClr val="A0A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02-42DE-AABD-D6AB32727C94}"/>
              </c:ext>
            </c:extLst>
          </c:dPt>
          <c:dPt>
            <c:idx val="5"/>
            <c:invertIfNegative val="0"/>
            <c:bubble3D val="0"/>
            <c:spPr>
              <a:solidFill>
                <a:srgbClr val="0090D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02-42DE-AABD-D6AB32727C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02-42DE-AABD-D6AB32727C94}"/>
              </c:ext>
            </c:extLst>
          </c:dPt>
          <c:dPt>
            <c:idx val="7"/>
            <c:invertIfNegative val="0"/>
            <c:bubble3D val="0"/>
            <c:spPr>
              <a:solidFill>
                <a:srgbClr val="6F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02-42DE-AABD-D6AB32727C94}"/>
              </c:ext>
            </c:extLst>
          </c:dPt>
          <c:dPt>
            <c:idx val="8"/>
            <c:invertIfNegative val="0"/>
            <c:bubble3D val="0"/>
            <c:spPr>
              <a:solidFill>
                <a:srgbClr val="AD7D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02-42DE-AABD-D6AB32727C94}"/>
              </c:ext>
            </c:extLst>
          </c:dPt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6'!$C$76:$C$84</c:f>
              <c:numCache>
                <c:formatCode>0_)</c:formatCode>
                <c:ptCount val="9"/>
                <c:pt idx="0">
                  <c:v>83.575919999999996</c:v>
                </c:pt>
                <c:pt idx="1">
                  <c:v>93.252690000000001</c:v>
                </c:pt>
                <c:pt idx="2">
                  <c:v>106.93800999999999</c:v>
                </c:pt>
                <c:pt idx="3">
                  <c:v>19.033094999999999</c:v>
                </c:pt>
                <c:pt idx="4">
                  <c:v>13.858034999999999</c:v>
                </c:pt>
                <c:pt idx="5">
                  <c:v>2.2729499999999998</c:v>
                </c:pt>
                <c:pt idx="6">
                  <c:v>9.0899999999999991E-3</c:v>
                </c:pt>
                <c:pt idx="7">
                  <c:v>1.779E-2</c:v>
                </c:pt>
                <c:pt idx="8">
                  <c:v>318.95758000000001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02-42DE-AABD-D6AB32727C94}"/>
            </c:ext>
          </c:extLst>
        </c:ser>
        <c:ser>
          <c:idx val="1"/>
          <c:order val="1"/>
          <c:tx>
            <c:strRef>
              <c:f>'Data 6'!$D$75</c:f>
              <c:strCache>
                <c:ptCount val="1"/>
                <c:pt idx="0">
                  <c:v>Autoconsumida GWh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2-42DE-AABD-D6AB32727C94}"/>
              </c:ext>
            </c:extLst>
          </c:dPt>
          <c:dPt>
            <c:idx val="1"/>
            <c:invertIfNegative val="0"/>
            <c:bubble3D val="0"/>
            <c:spPr>
              <a:solidFill>
                <a:srgbClr val="CFA2CA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A02-42DE-AABD-D6AB32727C94}"/>
              </c:ext>
            </c:extLst>
          </c:dPt>
          <c:dPt>
            <c:idx val="2"/>
            <c:invertIfNegative val="0"/>
            <c:bubble3D val="0"/>
            <c:spPr>
              <a:solidFill>
                <a:srgbClr val="8C5DA2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A02-42DE-AABD-D6AB32727C94}"/>
              </c:ext>
            </c:extLst>
          </c:dPt>
          <c:dPt>
            <c:idx val="3"/>
            <c:invertIfNegative val="0"/>
            <c:bubble3D val="0"/>
            <c:spPr>
              <a:solidFill>
                <a:srgbClr val="666666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A02-42DE-AABD-D6AB32727C94}"/>
              </c:ext>
            </c:extLst>
          </c:dPt>
          <c:dPt>
            <c:idx val="4"/>
            <c:invertIfNegative val="0"/>
            <c:bubble3D val="0"/>
            <c:spPr>
              <a:solidFill>
                <a:srgbClr val="A0A0A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2A02-42DE-AABD-D6AB32727C94}"/>
              </c:ext>
            </c:extLst>
          </c:dPt>
          <c:dPt>
            <c:idx val="5"/>
            <c:invertIfNegative val="0"/>
            <c:bubble3D val="0"/>
            <c:spPr>
              <a:solidFill>
                <a:srgbClr val="0090D1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A02-42DE-AABD-D6AB32727C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2A02-42DE-AABD-D6AB32727C94}"/>
              </c:ext>
            </c:extLst>
          </c:dPt>
          <c:dPt>
            <c:idx val="7"/>
            <c:invertIfNegative val="0"/>
            <c:bubble3D val="0"/>
            <c:spPr>
              <a:solidFill>
                <a:srgbClr val="6FB114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2A02-42DE-AABD-D6AB32727C94}"/>
              </c:ext>
            </c:extLst>
          </c:dPt>
          <c:dPt>
            <c:idx val="8"/>
            <c:invertIfNegative val="0"/>
            <c:bubble3D val="0"/>
            <c:spPr>
              <a:solidFill>
                <a:srgbClr val="EFDFF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2A02-42DE-AABD-D6AB32727C94}"/>
              </c:ext>
            </c:extLst>
          </c:dPt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6'!$D$76:$D$84</c:f>
              <c:numCache>
                <c:formatCode>0_)</c:formatCode>
                <c:ptCount val="9"/>
                <c:pt idx="0">
                  <c:v>1248.2230199999999</c:v>
                </c:pt>
                <c:pt idx="1">
                  <c:v>205.34781000000001</c:v>
                </c:pt>
                <c:pt idx="2">
                  <c:v>6.1234299999999999</c:v>
                </c:pt>
                <c:pt idx="3">
                  <c:v>2.2674400000000001</c:v>
                </c:pt>
                <c:pt idx="4">
                  <c:v>0</c:v>
                </c:pt>
                <c:pt idx="5">
                  <c:v>0.13355</c:v>
                </c:pt>
                <c:pt idx="6">
                  <c:v>4.8909999999999995E-2</c:v>
                </c:pt>
                <c:pt idx="7">
                  <c:v>1.0119999999999999E-2</c:v>
                </c:pt>
                <c:pt idx="8">
                  <c:v>1462.15428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02-42DE-AABD-D6AB32727C94}"/>
            </c:ext>
          </c:extLst>
        </c:ser>
        <c:ser>
          <c:idx val="2"/>
          <c:order val="2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6'!$F$76:$F$84</c:f>
              <c:numCache>
                <c:formatCode>0.0_)</c:formatCode>
                <c:ptCount val="9"/>
                <c:pt idx="0">
                  <c:v>449.32112424000007</c:v>
                </c:pt>
                <c:pt idx="1">
                  <c:v>1482.5085732</c:v>
                </c:pt>
                <c:pt idx="2">
                  <c:v>1668.0470102400002</c:v>
                </c:pt>
                <c:pt idx="3">
                  <c:v>1759.8099004800001</c:v>
                </c:pt>
                <c:pt idx="4">
                  <c:v>1767.2549486400001</c:v>
                </c:pt>
                <c:pt idx="5">
                  <c:v>1778.7074987999999</c:v>
                </c:pt>
                <c:pt idx="6">
                  <c:v>1781.0585666400002</c:v>
                </c:pt>
                <c:pt idx="7">
                  <c:v>1781.0763777600002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A02-42DE-AABD-D6AB32727C94}"/>
            </c:ext>
          </c:extLst>
        </c:ser>
        <c:ser>
          <c:idx val="3"/>
          <c:order val="3"/>
          <c:tx>
            <c:strRef>
              <c:f>'Data 6'!$E$75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6'!$E$76:$E$84</c:f>
              <c:numCache>
                <c:formatCode>0.0_)</c:formatCode>
                <c:ptCount val="9"/>
                <c:pt idx="0">
                  <c:v>74.772999999999996</c:v>
                </c:pt>
                <c:pt idx="1">
                  <c:v>16.765000000000001</c:v>
                </c:pt>
                <c:pt idx="2">
                  <c:v>6.3479999999999999</c:v>
                </c:pt>
                <c:pt idx="3">
                  <c:v>1.196</c:v>
                </c:pt>
                <c:pt idx="4">
                  <c:v>0.77800000000000002</c:v>
                </c:pt>
                <c:pt idx="5">
                  <c:v>0.13500000000000001</c:v>
                </c:pt>
                <c:pt idx="6">
                  <c:v>3.0000000000000001E-3</c:v>
                </c:pt>
                <c:pt idx="7">
                  <c:v>2E-3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02-42DE-AABD-D6AB3272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874300960"/>
        <c:axId val="874285120"/>
      </c:barChart>
      <c:catAx>
        <c:axId val="87430096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874285120"/>
        <c:crosses val="autoZero"/>
        <c:auto val="1"/>
        <c:lblAlgn val="ctr"/>
        <c:lblOffset val="100"/>
        <c:noMultiLvlLbl val="0"/>
      </c:catAx>
      <c:valAx>
        <c:axId val="87428512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8743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4426352098675E-2"/>
          <c:y val="1.9491313585801775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1083634067624943"/>
                  <c:y val="8.0558386084092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20745898194112952"/>
                  <c:y val="-0.10954299830168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Dat_01!$E$34:$E$35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Dat_01!$F$34:$F$35</c:f>
              <c:numCache>
                <c:formatCode>#,##0.0</c:formatCode>
                <c:ptCount val="2"/>
                <c:pt idx="0">
                  <c:v>28.370816903542622</c:v>
                </c:pt>
                <c:pt idx="1">
                  <c:v>71.629183096457353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479139364685E-2"/>
          <c:y val="1.949169521748712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1052650967123421"/>
                  <c:y val="5.56204003911275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22222288734437293"/>
                  <c:y val="1.24357984663681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Dat_01!$E$51:$E$52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Dat_01!$F$51:$F$52</c:f>
              <c:numCache>
                <c:formatCode>#,##0.0</c:formatCode>
                <c:ptCount val="2"/>
                <c:pt idx="0">
                  <c:v>39.652929235148925</c:v>
                </c:pt>
                <c:pt idx="1">
                  <c:v>60.347070764851097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Dat_01!$B$94</c:f>
          <c:strCache>
            <c:ptCount val="1"/>
            <c:pt idx="0">
              <c:v>Mes 29/06/2026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Dat_01!$A$112:$A$113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0.10404738527488465"/>
                  <c:y val="7.105058926457717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8.7779553228218107E-2"/>
                  <c:y val="-4.561123977149915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Dat_01!$B$112:$B$113</c:f>
              <c:numCache>
                <c:formatCode>#,##0.0</c:formatCode>
                <c:ptCount val="2"/>
                <c:pt idx="0">
                  <c:v>38.530916806778244</c:v>
                </c:pt>
                <c:pt idx="1">
                  <c:v>61.469083193221763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D-925E-4294-A267-0F815BF72F3E}"/>
              </c:ext>
            </c:extLst>
          </c:dPt>
          <c:dLbls>
            <c:dLbl>
              <c:idx val="0"/>
              <c:layout>
                <c:manualLayout>
                  <c:x val="5.8536585365853537E-2"/>
                  <c:y val="-8.99434830376147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3379820187513236"/>
                  <c:y val="-3.37073748134424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3788421924032113"/>
                  <c:y val="1.06493747105141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9660332800697"/>
                      <c:h val="0.16528022232515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1459172554530927"/>
                  <c:y val="4.54234985332715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81221723812636"/>
                      <c:h val="0.16935947712418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308477882807435"/>
                  <c:y val="0.12118491070969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744033523927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1.5289451899197077E-2"/>
                  <c:y val="0.217186969275899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18606556533374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8.0541362647517475E-2"/>
                  <c:y val="0.11825392414183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6105923801089655"/>
                  <c:y val="6.1375945653852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3969354709938825"/>
                  <c:y val="-3.01033799346510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layout>
                <c:manualLayout>
                  <c:x val="-0.15647921760391201"/>
                  <c:y val="-5.22875816993464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6.3414634146341464E-2"/>
                  <c:y val="-8.5219699007044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9756097560976"/>
                      <c:h val="0.15971299932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5E-4294-A267-0F815BF72F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Dat_01!$B$97:$B$108</c:f>
              <c:numCache>
                <c:formatCode>_-* #,##0.0\ _€_-;\-* #,##0.0\ _€_-;_-* "-"??\ _€_-;_-@_-</c:formatCode>
                <c:ptCount val="12"/>
                <c:pt idx="0">
                  <c:v>19.395151365311406</c:v>
                </c:pt>
                <c:pt idx="1">
                  <c:v>3.4738488357765282E-7</c:v>
                </c:pt>
                <c:pt idx="2">
                  <c:v>13.128154836308603</c:v>
                </c:pt>
                <c:pt idx="3">
                  <c:v>1.0512403865679709</c:v>
                </c:pt>
                <c:pt idx="4">
                  <c:v>4.6313299412890521</c:v>
                </c:pt>
                <c:pt idx="5">
                  <c:v>0.32503992991632624</c:v>
                </c:pt>
                <c:pt idx="6">
                  <c:v>0.24112065825597717</c:v>
                </c:pt>
                <c:pt idx="7">
                  <c:v>20.87110312100188</c:v>
                </c:pt>
                <c:pt idx="8">
                  <c:v>8.2479609142295658</c:v>
                </c:pt>
                <c:pt idx="9">
                  <c:v>28.125913693964318</c:v>
                </c:pt>
                <c:pt idx="10">
                  <c:v>2.7378418196564476</c:v>
                </c:pt>
                <c:pt idx="11">
                  <c:v>1.2451429861135777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Dat_01!$H$94</c:f>
          <c:strCache>
            <c:ptCount val="1"/>
            <c:pt idx="0">
              <c:v>Histórico 09/01/2026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Dat_01!$G$112:$G$113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4001638819537801"/>
                  <c:y val="4.7370078740157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9.8097945073938805E-2"/>
                  <c:y val="-3.205516957439143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Dat_01!$H$112:$H$113</c:f>
              <c:numCache>
                <c:formatCode>#,##0.0</c:formatCode>
                <c:ptCount val="2"/>
                <c:pt idx="0">
                  <c:v>35.050134235731832</c:v>
                </c:pt>
                <c:pt idx="1">
                  <c:v>64.949865764268168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B-661B-4EDC-9B0C-2C576C8D52D7}"/>
              </c:ext>
            </c:extLst>
          </c:dPt>
          <c:dLbls>
            <c:dLbl>
              <c:idx val="0"/>
              <c:layout>
                <c:manualLayout>
                  <c:x val="0.12094736973044246"/>
                  <c:y val="-5.3542483660130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9.831252800716983E-2"/>
                  <c:y val="-0.105068601718902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layout>
                <c:manualLayout>
                  <c:x val="0.12357736380513411"/>
                  <c:y val="-5.2287581699346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7856783556704"/>
                      <c:h val="0.17050368703912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3072095256385624"/>
                  <c:y val="3.6810457516339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0.11611399285989714"/>
                  <c:y val="0.12709340744171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9.571218231867358E-3"/>
                  <c:y val="0.21757686171581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8211382113821145"/>
                  <c:y val="2.0977377827771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0.14308943089430895"/>
                  <c:y val="-7.94771241830065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14634133538185778"/>
                  <c:y val="-3.1581699346405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3.2520325203252036E-2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0.15330795735841077"/>
                  <c:y val="-7.8169934640522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5019632545931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661B-4EDC-9B0C-2C576C8D5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Dat_01!$H$97:$H$108</c:f>
              <c:numCache>
                <c:formatCode>_-* #,##0.0\ _€_-;\-* #,##0.0\ _€_-;_-* "-"??\ _€_-;_-@_-</c:formatCode>
                <c:ptCount val="12"/>
                <c:pt idx="0">
                  <c:v>18.487107180555416</c:v>
                </c:pt>
                <c:pt idx="1">
                  <c:v>4.3366638596442108E-7</c:v>
                </c:pt>
                <c:pt idx="2">
                  <c:v>10.682105112386498</c:v>
                </c:pt>
                <c:pt idx="3">
                  <c:v>0.71837964367609863</c:v>
                </c:pt>
                <c:pt idx="4">
                  <c:v>4.8651437033214027</c:v>
                </c:pt>
                <c:pt idx="5">
                  <c:v>0.29739816212603165</c:v>
                </c:pt>
                <c:pt idx="6">
                  <c:v>0.21112858271633986</c:v>
                </c:pt>
                <c:pt idx="7">
                  <c:v>49.203387660615782</c:v>
                </c:pt>
                <c:pt idx="8">
                  <c:v>6.2552829556256722</c:v>
                </c:pt>
                <c:pt idx="9">
                  <c:v>8.1722061532361838</c:v>
                </c:pt>
                <c:pt idx="10">
                  <c:v>5.3392354940360591E-2</c:v>
                </c:pt>
                <c:pt idx="11">
                  <c:v>1.0544680571338234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Dat_01!$A$165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4B-9E8C-778F9AA11C4C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213-9203-91972CE4D31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F-497C-BB01-A1596D647726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2-4534-B361-C593543EA17E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9-44D2-B532-682CD45D4E1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A80-8689-028C605DABB8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B-4C9E-B523-A44A56F1C3E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A-452F-B976-74C2746734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3-4EB1-8C39-AB9CD521454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3-4EB1-8C39-AB9CD5214540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3-4EB1-8C39-AB9CD521454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3-4EB1-8C39-AB9CD5214540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Dat_01!$B$162:$N$162</c:f>
              <c:numCache>
                <c:formatCode>0.0</c:formatCode>
                <c:ptCount val="13"/>
                <c:pt idx="0">
                  <c:v>55.889110896757089</c:v>
                </c:pt>
                <c:pt idx="1">
                  <c:v>57.026172343488327</c:v>
                </c:pt>
                <c:pt idx="2">
                  <c:v>54.278435884426671</c:v>
                </c:pt>
                <c:pt idx="3">
                  <c:v>55.026443231584842</c:v>
                </c:pt>
                <c:pt idx="4">
                  <c:v>52.059479195638389</c:v>
                </c:pt>
                <c:pt idx="5">
                  <c:v>58.909827621662401</c:v>
                </c:pt>
                <c:pt idx="6">
                  <c:v>50.748277609807261</c:v>
                </c:pt>
                <c:pt idx="7">
                  <c:v>57.648981197399877</c:v>
                </c:pt>
                <c:pt idx="8">
                  <c:v>65.512804852155156</c:v>
                </c:pt>
                <c:pt idx="9">
                  <c:v>65.286541173093369</c:v>
                </c:pt>
                <c:pt idx="10">
                  <c:v>61.670473766436807</c:v>
                </c:pt>
                <c:pt idx="11">
                  <c:v>62.230510075615165</c:v>
                </c:pt>
                <c:pt idx="12">
                  <c:v>60.347070764851097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Dat_01!$A$166</c:f>
              <c:strCache>
                <c:ptCount val="1"/>
                <c:pt idx="0">
                  <c:v>No renovables: nuclear, carbón, turbina de vapor, 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4B-9E8C-778F9AA11C4C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213-9203-91972CE4D31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F-497C-BB01-A1596D6477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2-4534-B361-C593543EA17E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9-44D2-B532-682CD45D4E1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D-4A80-8689-028C605DABB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B-4C9E-B523-A44A56F1C3E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D-4727-A56F-BCC12B52A0DC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3-4EB1-8C39-AB9CD52145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3-4EB1-8C39-AB9CD521454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3-4EB1-8C39-AB9CD521454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3-4EB1-8C39-AB9CD521454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Dat_01!$B$163:$N$163</c:f>
              <c:numCache>
                <c:formatCode>0.0</c:formatCode>
                <c:ptCount val="13"/>
                <c:pt idx="0">
                  <c:v>44.110889103242904</c:v>
                </c:pt>
                <c:pt idx="1">
                  <c:v>42.973827656511666</c:v>
                </c:pt>
                <c:pt idx="2">
                  <c:v>45.721564115573337</c:v>
                </c:pt>
                <c:pt idx="3">
                  <c:v>44.973556768415143</c:v>
                </c:pt>
                <c:pt idx="4">
                  <c:v>47.940520804361633</c:v>
                </c:pt>
                <c:pt idx="5">
                  <c:v>41.090172378337591</c:v>
                </c:pt>
                <c:pt idx="6">
                  <c:v>49.251722390192739</c:v>
                </c:pt>
                <c:pt idx="7">
                  <c:v>42.351018802600123</c:v>
                </c:pt>
                <c:pt idx="8">
                  <c:v>34.487195147844851</c:v>
                </c:pt>
                <c:pt idx="9">
                  <c:v>34.713458826906631</c:v>
                </c:pt>
                <c:pt idx="10">
                  <c:v>38.329526233563158</c:v>
                </c:pt>
                <c:pt idx="11">
                  <c:v>37.769489924384828</c:v>
                </c:pt>
                <c:pt idx="12">
                  <c:v>39.652929235148925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Dat_01!$C$266:$O$266</c:f>
              <c:numCache>
                <c:formatCode>#,##0.000;\(#,##0.000\)</c:formatCode>
                <c:ptCount val="13"/>
                <c:pt idx="0">
                  <c:v>2135701.1767500001</c:v>
                </c:pt>
                <c:pt idx="1">
                  <c:v>1985960.5500700001</c:v>
                </c:pt>
                <c:pt idx="2">
                  <c:v>1873265.32244</c:v>
                </c:pt>
                <c:pt idx="3">
                  <c:v>1758022.99923</c:v>
                </c:pt>
                <c:pt idx="4">
                  <c:v>2356059.5199199999</c:v>
                </c:pt>
                <c:pt idx="5">
                  <c:v>1923840.58177</c:v>
                </c:pt>
                <c:pt idx="6">
                  <c:v>2310492.7861700002</c:v>
                </c:pt>
                <c:pt idx="7">
                  <c:v>1902949.4867100001</c:v>
                </c:pt>
                <c:pt idx="8">
                  <c:v>1186649.3007</c:v>
                </c:pt>
                <c:pt idx="9">
                  <c:v>1405092.62277</c:v>
                </c:pt>
                <c:pt idx="10">
                  <c:v>1326746.2935800001</c:v>
                </c:pt>
                <c:pt idx="11">
                  <c:v>1595279.8433099999</c:v>
                </c:pt>
                <c:pt idx="12">
                  <c:v>1759087.38472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Dat_01!$A$173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Dat_01!$B$170:$N$170</c:f>
              <c:numCache>
                <c:formatCode>0.0</c:formatCode>
                <c:ptCount val="13"/>
                <c:pt idx="0">
                  <c:v>74.587144433587156</c:v>
                </c:pt>
                <c:pt idx="1">
                  <c:v>78.258814329596646</c:v>
                </c:pt>
                <c:pt idx="2">
                  <c:v>77.284311020789332</c:v>
                </c:pt>
                <c:pt idx="3">
                  <c:v>77.15872851096097</c:v>
                </c:pt>
                <c:pt idx="4">
                  <c:v>69.835086136414233</c:v>
                </c:pt>
                <c:pt idx="5">
                  <c:v>76.095193785408014</c:v>
                </c:pt>
                <c:pt idx="6">
                  <c:v>72.499824076210444</c:v>
                </c:pt>
                <c:pt idx="7">
                  <c:v>79.219493908840747</c:v>
                </c:pt>
                <c:pt idx="8">
                  <c:v>84.956329653476047</c:v>
                </c:pt>
                <c:pt idx="9">
                  <c:v>83.170431084102574</c:v>
                </c:pt>
                <c:pt idx="10">
                  <c:v>81.83195704641561</c:v>
                </c:pt>
                <c:pt idx="11">
                  <c:v>80.341369441523327</c:v>
                </c:pt>
                <c:pt idx="12">
                  <c:v>79.733419581801428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Dat_01!$A$174</c:f>
              <c:strCache>
                <c:ptCount val="1"/>
                <c:pt idx="0">
                  <c:v>Con emisiones CO2: carbón, turbina de vapor,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Dat_01!$B$171:$N$171</c:f>
              <c:numCache>
                <c:formatCode>0.0</c:formatCode>
                <c:ptCount val="13"/>
                <c:pt idx="0">
                  <c:v>25.412855566412841</c:v>
                </c:pt>
                <c:pt idx="1">
                  <c:v>21.741185670403361</c:v>
                </c:pt>
                <c:pt idx="2">
                  <c:v>22.715688979210665</c:v>
                </c:pt>
                <c:pt idx="3">
                  <c:v>22.841271489039013</c:v>
                </c:pt>
                <c:pt idx="4">
                  <c:v>30.164913863585781</c:v>
                </c:pt>
                <c:pt idx="5">
                  <c:v>23.904806214591993</c:v>
                </c:pt>
                <c:pt idx="6">
                  <c:v>27.500175923789556</c:v>
                </c:pt>
                <c:pt idx="7">
                  <c:v>20.780506091159261</c:v>
                </c:pt>
                <c:pt idx="8">
                  <c:v>15.04367034652396</c:v>
                </c:pt>
                <c:pt idx="9">
                  <c:v>16.829568915897429</c:v>
                </c:pt>
                <c:pt idx="10">
                  <c:v>18.168042953584347</c:v>
                </c:pt>
                <c:pt idx="11">
                  <c:v>19.658630558476649</c:v>
                </c:pt>
                <c:pt idx="12">
                  <c:v>20.266580418198586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5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0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2409.3098923359998</c:v>
                </c:pt>
                <c:pt idx="1">
                  <c:v>1903.303893153</c:v>
                </c:pt>
                <c:pt idx="2">
                  <c:v>1795.39028151</c:v>
                </c:pt>
                <c:pt idx="3">
                  <c:v>1608.4303145199999</c:v>
                </c:pt>
                <c:pt idx="4">
                  <c:v>1758.8319904279999</c:v>
                </c:pt>
                <c:pt idx="5">
                  <c:v>2029.22533232</c:v>
                </c:pt>
                <c:pt idx="6">
                  <c:v>3248.7659010940001</c:v>
                </c:pt>
                <c:pt idx="7">
                  <c:v>3209.7253025529999</c:v>
                </c:pt>
                <c:pt idx="8">
                  <c:v>4434.768453701</c:v>
                </c:pt>
                <c:pt idx="9">
                  <c:v>4321.8610615380003</c:v>
                </c:pt>
                <c:pt idx="10">
                  <c:v>2464.6633628059999</c:v>
                </c:pt>
                <c:pt idx="11">
                  <c:v>2629.3625649720002</c:v>
                </c:pt>
                <c:pt idx="12">
                  <c:v>2108.1172669940001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Dat_01!$A$151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3077.2193400000001</c:v>
                </c:pt>
                <c:pt idx="1">
                  <c:v>4437.6775129999996</c:v>
                </c:pt>
                <c:pt idx="2">
                  <c:v>3605.133077</c:v>
                </c:pt>
                <c:pt idx="3">
                  <c:v>3947.6487539999998</c:v>
                </c:pt>
                <c:pt idx="4">
                  <c:v>4485.1206149999998</c:v>
                </c:pt>
                <c:pt idx="5">
                  <c:v>7058.5018890000001</c:v>
                </c:pt>
                <c:pt idx="6">
                  <c:v>5344.3112639999999</c:v>
                </c:pt>
                <c:pt idx="7">
                  <c:v>8171.1432119999999</c:v>
                </c:pt>
                <c:pt idx="8">
                  <c:v>6253.9282720000001</c:v>
                </c:pt>
                <c:pt idx="9">
                  <c:v>5093.9981690000004</c:v>
                </c:pt>
                <c:pt idx="10">
                  <c:v>3792.3392530000001</c:v>
                </c:pt>
                <c:pt idx="11">
                  <c:v>3294.9167109999999</c:v>
                </c:pt>
                <c:pt idx="12">
                  <c:v>3745.7366740000002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Dat_01!$A$152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5932.2778820000003</c:v>
                </c:pt>
                <c:pt idx="1">
                  <c:v>6193.1462780000002</c:v>
                </c:pt>
                <c:pt idx="2">
                  <c:v>5735.4531379999999</c:v>
                </c:pt>
                <c:pt idx="3">
                  <c:v>4954.8813920000002</c:v>
                </c:pt>
                <c:pt idx="4">
                  <c:v>3969.608491</c:v>
                </c:pt>
                <c:pt idx="5">
                  <c:v>3059.780131</c:v>
                </c:pt>
                <c:pt idx="6">
                  <c:v>2201.8392009999998</c:v>
                </c:pt>
                <c:pt idx="7">
                  <c:v>2233.5292939999999</c:v>
                </c:pt>
                <c:pt idx="8">
                  <c:v>2506.2656480000001</c:v>
                </c:pt>
                <c:pt idx="9">
                  <c:v>4214.4289980000003</c:v>
                </c:pt>
                <c:pt idx="10">
                  <c:v>4954.7639339999996</c:v>
                </c:pt>
                <c:pt idx="11">
                  <c:v>6124.7280780000001</c:v>
                </c:pt>
                <c:pt idx="12">
                  <c:v>7013.336182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Dat_01!$A$153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486.22661499999998</c:v>
                </c:pt>
                <c:pt idx="1">
                  <c:v>660.85651299999995</c:v>
                </c:pt>
                <c:pt idx="2">
                  <c:v>488.10293799999999</c:v>
                </c:pt>
                <c:pt idx="3">
                  <c:v>396.08216199999998</c:v>
                </c:pt>
                <c:pt idx="4">
                  <c:v>237.03407300000001</c:v>
                </c:pt>
                <c:pt idx="5">
                  <c:v>110.075363</c:v>
                </c:pt>
                <c:pt idx="6">
                  <c:v>48.384062999999998</c:v>
                </c:pt>
                <c:pt idx="7">
                  <c:v>35.180328000000003</c:v>
                </c:pt>
                <c:pt idx="8">
                  <c:v>132.877106</c:v>
                </c:pt>
                <c:pt idx="9">
                  <c:v>321.98467699999998</c:v>
                </c:pt>
                <c:pt idx="10">
                  <c:v>367.12681900000001</c:v>
                </c:pt>
                <c:pt idx="11">
                  <c:v>514.993244</c:v>
                </c:pt>
                <c:pt idx="12">
                  <c:v>622.22796100000005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Dat_01!$B$154:$N$154</c:f>
              <c:numCache>
                <c:formatCode>#,##0.0</c:formatCode>
                <c:ptCount val="13"/>
                <c:pt idx="0">
                  <c:v>315.47904899999997</c:v>
                </c:pt>
                <c:pt idx="1">
                  <c:v>351.02867600000002</c:v>
                </c:pt>
                <c:pt idx="2">
                  <c:v>337.2756</c:v>
                </c:pt>
                <c:pt idx="3">
                  <c:v>330.89552800000001</c:v>
                </c:pt>
                <c:pt idx="4">
                  <c:v>323.77146800000003</c:v>
                </c:pt>
                <c:pt idx="5">
                  <c:v>315.148506</c:v>
                </c:pt>
                <c:pt idx="6">
                  <c:v>342.665932</c:v>
                </c:pt>
                <c:pt idx="7">
                  <c:v>318.48742099999998</c:v>
                </c:pt>
                <c:pt idx="8">
                  <c:v>219.331121</c:v>
                </c:pt>
                <c:pt idx="9">
                  <c:v>322.97610900000001</c:v>
                </c:pt>
                <c:pt idx="10">
                  <c:v>284.11891000000003</c:v>
                </c:pt>
                <c:pt idx="11">
                  <c:v>313.42286100000001</c:v>
                </c:pt>
                <c:pt idx="12">
                  <c:v>335.469852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Dat_01!$A$157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Dat_01!$B$157:$N$157</c:f>
              <c:numCache>
                <c:formatCode>#,##0.0</c:formatCode>
                <c:ptCount val="13"/>
                <c:pt idx="0">
                  <c:v>23.718672000000002</c:v>
                </c:pt>
                <c:pt idx="1">
                  <c:v>52.036873</c:v>
                </c:pt>
                <c:pt idx="2">
                  <c:v>59.049389499999997</c:v>
                </c:pt>
                <c:pt idx="3">
                  <c:v>45.211658999999997</c:v>
                </c:pt>
                <c:pt idx="4">
                  <c:v>49.534435000000002</c:v>
                </c:pt>
                <c:pt idx="5">
                  <c:v>51.141227499999999</c:v>
                </c:pt>
                <c:pt idx="6">
                  <c:v>59.985340000000001</c:v>
                </c:pt>
                <c:pt idx="7">
                  <c:v>59.131662499999997</c:v>
                </c:pt>
                <c:pt idx="8">
                  <c:v>36.8775215</c:v>
                </c:pt>
                <c:pt idx="9">
                  <c:v>39.021422000000001</c:v>
                </c:pt>
                <c:pt idx="10">
                  <c:v>41.4186525</c:v>
                </c:pt>
                <c:pt idx="11">
                  <c:v>37.339849999999998</c:v>
                </c:pt>
                <c:pt idx="12">
                  <c:v>50.901923500000002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6370844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13359" y="491490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38096</xdr:rowOff>
    </xdr:from>
    <xdr:to>
      <xdr:col>2</xdr:col>
      <xdr:colOff>1060510</xdr:colOff>
      <xdr:row>30</xdr:row>
      <xdr:rowOff>20696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" y="866771"/>
          <a:ext cx="1044000" cy="356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26668</xdr:colOff>
      <xdr:row>3</xdr:row>
      <xdr:rowOff>28575</xdr:rowOff>
    </xdr:from>
    <xdr:to>
      <xdr:col>9</xdr:col>
      <xdr:colOff>26163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105404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0.32479</cdr:x>
      <cdr:y>0.06663</cdr:y>
    </cdr:from>
    <cdr:to>
      <cdr:x>0.32692</cdr:x>
      <cdr:y>0.81138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87225" y="242437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0.75152</cdr:x>
      <cdr:y>0.0685</cdr:y>
    </cdr:from>
    <cdr:to>
      <cdr:x>0.75365</cdr:x>
      <cdr:y>0.81325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AB0D19C6-DA17-405C-C0BB-2D1C382BCA3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60899" y="249233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BD0732-86FF-42D2-9EAF-19A94983ED8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BC37C3-7D38-43A6-BB04-FAF83552C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1E0336-9C1A-4238-B4FC-F4CD8CC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26668</xdr:colOff>
      <xdr:row>3</xdr:row>
      <xdr:rowOff>22860</xdr:rowOff>
    </xdr:from>
    <xdr:to>
      <xdr:col>9</xdr:col>
      <xdr:colOff>26163</xdr:colOff>
      <xdr:row>3</xdr:row>
      <xdr:rowOff>36195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D54D373-8A3A-44F8-B86C-BAEE46734558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99689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C7E32-36EC-4E58-B722-AC4889A7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2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6B86162-B8A7-4D39-AA5A-8864C5FD59A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E9393A-B647-4C94-8856-328A989FD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63351-CA2D-4E08-93EA-0FA47352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0.32464</cdr:x>
      <cdr:y>0.06633</cdr:y>
    </cdr:from>
    <cdr:to>
      <cdr:x>0.32677</cdr:x>
      <cdr:y>0.81108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86215" y="241345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0.75173</cdr:x>
      <cdr:y>0.06459</cdr:y>
    </cdr:from>
    <cdr:to>
      <cdr:x>0.75386</cdr:x>
      <cdr:y>0.80934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5000CAE2-3C75-7FC0-BDC8-8B14B9CD195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62314" y="235014"/>
          <a:ext cx="14343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123825</xdr:rowOff>
    </xdr:from>
    <xdr:to>
      <xdr:col>3</xdr:col>
      <xdr:colOff>142874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19D1D2-74D9-4AB7-B47E-262AB9D0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11</xdr:col>
      <xdr:colOff>525</xdr:colOff>
      <xdr:row>3</xdr:row>
      <xdr:rowOff>25400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26670</xdr:rowOff>
    </xdr:from>
    <xdr:to>
      <xdr:col>3</xdr:col>
      <xdr:colOff>7213500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6C194F-4A32-46C8-B2AF-E9498978DBFA}"/>
            </a:ext>
          </a:extLst>
        </xdr:cNvPr>
        <xdr:cNvSpPr>
          <a:spLocks noChangeShapeType="1"/>
        </xdr:cNvSpPr>
      </xdr:nvSpPr>
      <xdr:spPr bwMode="auto">
        <a:xfrm flipH="1">
          <a:off x="182880" y="48387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CF136-0FB0-4A23-9017-EB9300A8F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104775</xdr:rowOff>
    </xdr:from>
    <xdr:to>
      <xdr:col>3</xdr:col>
      <xdr:colOff>104774</xdr:colOff>
      <xdr:row>2</xdr:row>
      <xdr:rowOff>55874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2196D-B904-487E-BEA4-3706D8C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0.1103</cdr:x>
      <cdr:y>0.92532</cdr:y>
    </cdr:from>
    <cdr:to>
      <cdr:x>0.96545</cdr:x>
      <cdr:y>1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772209" y="283800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0.77142</cdr:x>
      <cdr:y>0.71417</cdr:y>
    </cdr:from>
    <cdr:to>
      <cdr:x>0.90204</cdr:x>
      <cdr:y>0.80893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0639" y="2190395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0.81858</cdr:x>
      <cdr:y>0.22297</cdr:y>
    </cdr:from>
    <cdr:to>
      <cdr:x>0.95717</cdr:x>
      <cdr:y>0.29653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9204" y="720377"/>
          <a:ext cx="969987" cy="23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0.07329</cdr:x>
      <cdr:y>0.94936</cdr:y>
    </cdr:from>
    <cdr:to>
      <cdr:x>0.1162</cdr:x>
      <cdr:y>0.96934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13071" y="29117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17144</xdr:colOff>
      <xdr:row>3</xdr:row>
      <xdr:rowOff>36195</xdr:rowOff>
    </xdr:from>
    <xdr:to>
      <xdr:col>4</xdr:col>
      <xdr:colOff>4062644</xdr:colOff>
      <xdr:row>3</xdr:row>
      <xdr:rowOff>36195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22884" y="50101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9</xdr:row>
      <xdr:rowOff>9525</xdr:rowOff>
    </xdr:from>
    <xdr:to>
      <xdr:col>4</xdr:col>
      <xdr:colOff>485775</xdr:colOff>
      <xdr:row>10</xdr:row>
      <xdr:rowOff>65505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69795" y="1533525"/>
          <a:ext cx="236220" cy="2160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72,7%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142876</xdr:rowOff>
    </xdr:from>
    <xdr:to>
      <xdr:col>4</xdr:col>
      <xdr:colOff>828675</xdr:colOff>
      <xdr:row>10</xdr:row>
      <xdr:rowOff>35926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40305" y="1524001"/>
          <a:ext cx="255270" cy="2169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9</xdr:row>
      <xdr:rowOff>19050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57805" y="1562100"/>
          <a:ext cx="261620" cy="180976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74,7%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1.851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730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2.582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82865" y="1294667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95250</xdr:rowOff>
    </xdr:from>
    <xdr:to>
      <xdr:col>4</xdr:col>
      <xdr:colOff>1166400</xdr:colOff>
      <xdr:row>13</xdr:row>
      <xdr:rowOff>112789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124075"/>
          <a:ext cx="252000" cy="179464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63,9%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1230630</xdr:colOff>
      <xdr:row>12</xdr:row>
      <xdr:rowOff>28575</xdr:rowOff>
    </xdr:from>
    <xdr:to>
      <xdr:col>4</xdr:col>
      <xdr:colOff>1463040</xdr:colOff>
      <xdr:row>13</xdr:row>
      <xdr:rowOff>87338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7530" y="2057400"/>
          <a:ext cx="232410" cy="220688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94,7%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76200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9950" y="2105025"/>
          <a:ext cx="252000" cy="18809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83,9%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4.077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1.074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2.956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4.031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1.636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47625</xdr:rowOff>
    </xdr:from>
    <xdr:to>
      <xdr:col>4</xdr:col>
      <xdr:colOff>2539905</xdr:colOff>
      <xdr:row>12</xdr:row>
      <xdr:rowOff>94077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54805" y="1914525"/>
          <a:ext cx="252000" cy="20837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76,7%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210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9525</xdr:rowOff>
    </xdr:from>
    <xdr:to>
      <xdr:col>4</xdr:col>
      <xdr:colOff>2854230</xdr:colOff>
      <xdr:row>12</xdr:row>
      <xdr:rowOff>99529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876425"/>
          <a:ext cx="252000" cy="251929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85,6%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38100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73930" y="1905000"/>
          <a:ext cx="252000" cy="2183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77,6%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1.846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3.390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1.785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73,6%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2.444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47625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95028" y="2724150"/>
          <a:ext cx="252000" cy="17435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64,5%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38100</xdr:rowOff>
    </xdr:from>
    <xdr:to>
      <xdr:col>4</xdr:col>
      <xdr:colOff>2990850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14625"/>
          <a:ext cx="257174" cy="1821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68,0%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4.230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3.557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786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47625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49" y="3209925"/>
          <a:ext cx="257175" cy="19735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94,1%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174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114300</xdr:rowOff>
    </xdr:from>
    <xdr:to>
      <xdr:col>4</xdr:col>
      <xdr:colOff>1771650</xdr:colOff>
      <xdr:row>20</xdr:row>
      <xdr:rowOff>152292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3276600"/>
          <a:ext cx="247650" cy="19991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96,5%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540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19</xdr:row>
      <xdr:rowOff>133350</xdr:rowOff>
    </xdr:from>
    <xdr:to>
      <xdr:col>4</xdr:col>
      <xdr:colOff>2085974</xdr:colOff>
      <xdr:row>20</xdr:row>
      <xdr:rowOff>148042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95699" y="3295650"/>
          <a:ext cx="257175" cy="17661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19</xdr:row>
      <xdr:rowOff>133350</xdr:rowOff>
    </xdr:from>
    <xdr:to>
      <xdr:col>4</xdr:col>
      <xdr:colOff>2362200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000499" y="3295650"/>
          <a:ext cx="228601" cy="18064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714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605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7.666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3089275</xdr:colOff>
      <xdr:row>25</xdr:row>
      <xdr:rowOff>0</xdr:rowOff>
    </xdr:from>
    <xdr:to>
      <xdr:col>4</xdr:col>
      <xdr:colOff>3409950</xdr:colOff>
      <xdr:row>26</xdr:row>
      <xdr:rowOff>59879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56175" y="4133850"/>
          <a:ext cx="320675" cy="221804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6.521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19050</xdr:rowOff>
    </xdr:from>
    <xdr:to>
      <xdr:col>4</xdr:col>
      <xdr:colOff>2933700</xdr:colOff>
      <xdr:row>26</xdr:row>
      <xdr:rowOff>60013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95800" y="4152900"/>
          <a:ext cx="304800" cy="202888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72,7%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14.187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19051</xdr:rowOff>
    </xdr:from>
    <xdr:to>
      <xdr:col>4</xdr:col>
      <xdr:colOff>3886201</xdr:colOff>
      <xdr:row>26</xdr:row>
      <xdr:rowOff>55058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52901"/>
          <a:ext cx="292100" cy="197932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76,5%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AE064E-00CA-4463-A66F-D66908C48523}"/>
            </a:ext>
          </a:extLst>
        </xdr:cNvPr>
        <xdr:cNvSpPr>
          <a:spLocks noChangeShapeType="1"/>
        </xdr:cNvSpPr>
      </xdr:nvSpPr>
      <xdr:spPr bwMode="auto">
        <a:xfrm flipH="1">
          <a:off x="212723" y="492125"/>
          <a:ext cx="556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4AF9E3-24B0-460F-BE6C-86CC0D8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6</xdr:row>
      <xdr:rowOff>15240</xdr:rowOff>
    </xdr:from>
    <xdr:to>
      <xdr:col>4</xdr:col>
      <xdr:colOff>3904615</xdr:colOff>
      <xdr:row>21</xdr:row>
      <xdr:rowOff>91440</xdr:rowOff>
    </xdr:to>
    <xdr:graphicFrame macro="">
      <xdr:nvGraphicFramePr>
        <xdr:cNvPr id="8" name="Graf3_and">
          <a:extLst>
            <a:ext uri="{FF2B5EF4-FFF2-40B4-BE49-F238E27FC236}">
              <a16:creationId xmlns:a16="http://schemas.microsoft.com/office/drawing/2014/main" id="{24CADC64-57FB-41EC-83DE-B455EB8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0.07053</cdr:x>
      <cdr:y>0.11384</cdr:y>
    </cdr:from>
    <cdr:to>
      <cdr:x>0.37616</cdr:x>
      <cdr:y>0.25846</cdr:y>
    </cdr:to>
    <cdr:sp macro="" textlink="Dat_01!$K$34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74318" y="281934"/>
          <a:ext cx="1188722" cy="35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1DF8CCD-B3AA-41DF-B855-73B23BDD0B4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3.331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0.06988</cdr:x>
      <cdr:y>0.50052</cdr:y>
    </cdr:from>
    <cdr:to>
      <cdr:x>0.23118</cdr:x>
      <cdr:y>0.62462</cdr:y>
    </cdr:to>
    <cdr:sp macro="" textlink="Dat_01!$K$35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71793" y="1239526"/>
          <a:ext cx="627367" cy="307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95287B-148C-4E4E-B5F2-B3814893D12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Baterías 216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D32B3-ABDB-425C-B421-1D3CB22D2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F62A6-43D6-4378-AE98-ED1FA5D83DCC}"/>
            </a:ext>
          </a:extLst>
        </xdr:cNvPr>
        <xdr:cNvSpPr>
          <a:spLocks noChangeShapeType="1"/>
        </xdr:cNvSpPr>
      </xdr:nvSpPr>
      <xdr:spPr bwMode="auto">
        <a:xfrm flipH="1">
          <a:off x="190500" y="457200"/>
          <a:ext cx="875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87C7C-BE0E-48ED-8CDB-C22E9B8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E0934-D57C-4987-8766-C638B3D96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29303B1-96D2-43FA-A3F2-B43506501489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743C1-BD09-4353-97BA-04543F69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10160</xdr:colOff>
      <xdr:row>3</xdr:row>
      <xdr:rowOff>17780</xdr:rowOff>
    </xdr:from>
    <xdr:to>
      <xdr:col>7</xdr:col>
      <xdr:colOff>18530</xdr:colOff>
      <xdr:row>3</xdr:row>
      <xdr:rowOff>17780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2FDC5D-8C27-4BF3-8503-0EF8399B100F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93339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EF7FE-9394-4E80-8E10-8A6F829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1836419</xdr:colOff>
      <xdr:row>21</xdr:row>
      <xdr:rowOff>7620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86E996FD-DFFD-4BBF-B12C-B0EE011F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5</xdr:col>
      <xdr:colOff>1821179</xdr:colOff>
      <xdr:row>34</xdr:row>
      <xdr:rowOff>7620</xdr:rowOff>
    </xdr:to>
    <xdr:graphicFrame macro="">
      <xdr:nvGraphicFramePr>
        <xdr:cNvPr id="7" name="Graf3_and">
          <a:extLst>
            <a:ext uri="{FF2B5EF4-FFF2-40B4-BE49-F238E27FC236}">
              <a16:creationId xmlns:a16="http://schemas.microsoft.com/office/drawing/2014/main" id="{DDFCDA35-B79C-417E-A02C-3D14F4F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0.43644</cdr:x>
      <cdr:y>0.38729</cdr:y>
    </cdr:to>
    <cdr:sp macro="" textlink="Dat_01!$K$51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8" y="87713"/>
          <a:ext cx="1359856" cy="4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520F4AC-ABB1-423A-8110-0F706372920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632,5 GWh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0.33958</cdr:x>
      <cdr:y>0.77431</cdr:y>
    </cdr:to>
    <cdr:sp macro="" textlink="Dat_01!$K$52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8" y="689199"/>
          <a:ext cx="994732" cy="48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9BEB720-8C92-4C52-87B3-A35CA412D1F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Entrega batería 1,3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0.39017</cdr:x>
      <cdr:y>0.38729</cdr:y>
    </cdr:to>
    <cdr:sp macro="" textlink="Dat_01!$K$58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0429" y="84732"/>
          <a:ext cx="1160221" cy="482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FF47B202-5CEA-4692-91EF-289EDCD48CE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Consumo de bombeo -0.999,2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0.29854</cdr:x>
      <cdr:y>0.77431</cdr:y>
    </cdr:to>
    <cdr:sp macro="" textlink="Dat_01!$K$59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6812" y="689195"/>
          <a:ext cx="842848" cy="48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4FC9064D-C97C-448D-BD9F-BB937791AC8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Carga batería -1,6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15263" y="493395"/>
          <a:ext cx="56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</xdr:row>
      <xdr:rowOff>0</xdr:rowOff>
    </xdr:from>
    <xdr:to>
      <xdr:col>5</xdr:col>
      <xdr:colOff>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</xdr:colOff>
      <xdr:row>22</xdr:row>
      <xdr:rowOff>0</xdr:rowOff>
    </xdr:from>
    <xdr:to>
      <xdr:col>5</xdr:col>
      <xdr:colOff>13335</xdr:colOff>
      <xdr:row>38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1458594</xdr:colOff>
      <xdr:row>10</xdr:row>
      <xdr:rowOff>97790</xdr:rowOff>
    </xdr:from>
    <xdr:to>
      <xdr:col>4</xdr:col>
      <xdr:colOff>2531108</xdr:colOff>
      <xdr:row>16</xdr:row>
      <xdr:rowOff>97790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1449705</xdr:colOff>
      <xdr:row>27</xdr:row>
      <xdr:rowOff>11430</xdr:rowOff>
    </xdr:from>
    <xdr:to>
      <xdr:col>4</xdr:col>
      <xdr:colOff>2535554</xdr:colOff>
      <xdr:row>33</xdr:row>
      <xdr:rowOff>11430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265FF6-B0E6-460C-81C7-997E2792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5</xdr:col>
      <xdr:colOff>1170</xdr:colOff>
      <xdr:row>3</xdr:row>
      <xdr:rowOff>29845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08176A8-B5E5-43A0-8576-305C03E55E1E}"/>
            </a:ext>
          </a:extLst>
        </xdr:cNvPr>
        <xdr:cNvSpPr>
          <a:spLocks noChangeShapeType="1"/>
        </xdr:cNvSpPr>
      </xdr:nvSpPr>
      <xdr:spPr bwMode="auto">
        <a:xfrm flipH="1">
          <a:off x="216535" y="494665"/>
          <a:ext cx="89438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A68DA9-DDE4-4986-9530-F6F6F756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0CA9FDC-88F2-4DC2-96BC-E521E4BB64C5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767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09FBF-5004-480C-921C-E492A9AC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</xdr:colOff>
      <xdr:row>6</xdr:row>
      <xdr:rowOff>0</xdr:rowOff>
    </xdr:from>
    <xdr:to>
      <xdr:col>7</xdr:col>
      <xdr:colOff>7620</xdr:colOff>
      <xdr:row>29</xdr:row>
      <xdr:rowOff>7620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ECD6B3-4044-40AA-B368-2FFB5A7BB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0.04698</cdr:x>
      <cdr:y>0.05591</cdr:y>
    </cdr:from>
    <cdr:to>
      <cdr:x>0.26667</cdr:x>
      <cdr:y>0.14226</cdr:y>
    </cdr:to>
    <cdr:sp macro="" textlink="Dat_01!$G$47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B1C5275-A12B-D406-FEA3-1EF584877CB4}"/>
            </a:ext>
          </a:extLst>
        </cdr:cNvPr>
        <cdr:cNvSpPr txBox="1"/>
      </cdr:nvSpPr>
      <cdr:spPr>
        <a:xfrm xmlns:a="http://schemas.openxmlformats.org/drawingml/2006/main">
          <a:off x="209405" y="215159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7D0EB60-CA31-4AFD-A73B-0B25EA0632E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0.04729</cdr:x>
      <cdr:y>0.15578</cdr:y>
    </cdr:from>
    <cdr:to>
      <cdr:x>0.26698</cdr:x>
      <cdr:y>0.24212</cdr:y>
    </cdr:to>
    <cdr:sp macro="" textlink="Dat_01!$G$48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5C9B03-92B0-0012-119F-C4A94E296C33}"/>
            </a:ext>
          </a:extLst>
        </cdr:cNvPr>
        <cdr:cNvSpPr txBox="1"/>
      </cdr:nvSpPr>
      <cdr:spPr>
        <a:xfrm xmlns:a="http://schemas.openxmlformats.org/drawingml/2006/main">
          <a:off x="210820" y="599440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8F7ED5A-CE57-4682-9EDD-0FF3DCA54F78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0.04729</cdr:x>
      <cdr:y>0.25281</cdr:y>
    </cdr:from>
    <cdr:to>
      <cdr:x>0.26698</cdr:x>
      <cdr:y>0.33915</cdr:y>
    </cdr:to>
    <cdr:sp macro="" textlink="Dat_01!$G$49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E457840E-FC97-5286-0FC5-D4AF648AD1BB}"/>
            </a:ext>
          </a:extLst>
        </cdr:cNvPr>
        <cdr:cNvSpPr txBox="1"/>
      </cdr:nvSpPr>
      <cdr:spPr>
        <a:xfrm xmlns:a="http://schemas.openxmlformats.org/drawingml/2006/main">
          <a:off x="210820" y="972820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BE10A346-20F3-4327-BC4E-62704AE787D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0.34829</cdr:y>
    </cdr:from>
    <cdr:to>
      <cdr:x>0.35175</cdr:x>
      <cdr:y>0.43464</cdr:y>
    </cdr:to>
    <cdr:sp macro="" textlink="Dat_01!$G$50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6F08CFFC-DD67-2E7C-1634-DB70092CA82A}"/>
            </a:ext>
          </a:extLst>
        </cdr:cNvPr>
        <cdr:cNvSpPr txBox="1"/>
      </cdr:nvSpPr>
      <cdr:spPr>
        <a:xfrm xmlns:a="http://schemas.openxmlformats.org/drawingml/2006/main">
          <a:off x="215900" y="1320800"/>
          <a:ext cx="13525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059705ED-2AD8-4831-96BF-13FA83EFD0E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0.44374</cdr:y>
    </cdr:from>
    <cdr:to>
      <cdr:x>0.35175</cdr:x>
      <cdr:y>0.53008</cdr:y>
    </cdr:to>
    <cdr:sp macro="" textlink="Dat_01!$G$51">
      <cdr:nvSpPr>
        <cdr:cNvPr id="18" name="CuadroTexto 1">
          <a:extLst xmlns:a="http://schemas.openxmlformats.org/drawingml/2006/main">
            <a:ext uri="{FF2B5EF4-FFF2-40B4-BE49-F238E27FC236}">
              <a16:creationId xmlns:a16="http://schemas.microsoft.com/office/drawing/2014/main" id="{1FF1E02D-83A5-3574-CE3A-E4920C48C1B5}"/>
            </a:ext>
          </a:extLst>
        </cdr:cNvPr>
        <cdr:cNvSpPr txBox="1"/>
      </cdr:nvSpPr>
      <cdr:spPr>
        <a:xfrm xmlns:a="http://schemas.openxmlformats.org/drawingml/2006/main">
          <a:off x="215900" y="1682750"/>
          <a:ext cx="13525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B8EDB8DD-6416-4D40-BE1F-38D63F41316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0.54421</cdr:y>
    </cdr:from>
    <cdr:to>
      <cdr:x>0.22643</cdr:x>
      <cdr:y>0.63055</cdr:y>
    </cdr:to>
    <cdr:sp macro="" textlink="Dat_01!$G$52">
      <cdr:nvSpPr>
        <cdr:cNvPr id="19" name="CuadroTexto 1">
          <a:extLst xmlns:a="http://schemas.openxmlformats.org/drawingml/2006/main">
            <a:ext uri="{FF2B5EF4-FFF2-40B4-BE49-F238E27FC236}">
              <a16:creationId xmlns:a16="http://schemas.microsoft.com/office/drawing/2014/main" id="{470D2ABF-E4A7-B0DB-DC96-B451169BB1B8}"/>
            </a:ext>
          </a:extLst>
        </cdr:cNvPr>
        <cdr:cNvSpPr txBox="1"/>
      </cdr:nvSpPr>
      <cdr:spPr>
        <a:xfrm xmlns:a="http://schemas.openxmlformats.org/drawingml/2006/main">
          <a:off x="215900" y="2063750"/>
          <a:ext cx="7937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0493CA68-D3CD-4DDB-9CD2-EF46F5CB4D75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0.05127</cdr:x>
      <cdr:y>0.6363</cdr:y>
    </cdr:from>
    <cdr:to>
      <cdr:x>0.22928</cdr:x>
      <cdr:y>0.72265</cdr:y>
    </cdr:to>
    <cdr:sp macro="" textlink="Dat_01!$G$53">
      <cdr:nvSpPr>
        <cdr:cNvPr id="20" name="CuadroTexto 1">
          <a:extLst xmlns:a="http://schemas.openxmlformats.org/drawingml/2006/main">
            <a:ext uri="{FF2B5EF4-FFF2-40B4-BE49-F238E27FC236}">
              <a16:creationId xmlns:a16="http://schemas.microsoft.com/office/drawing/2014/main" id="{FD399CE0-FF94-7DC4-9FE0-C470F6FB3C7A}"/>
            </a:ext>
          </a:extLst>
        </cdr:cNvPr>
        <cdr:cNvSpPr txBox="1"/>
      </cdr:nvSpPr>
      <cdr:spPr>
        <a:xfrm xmlns:a="http://schemas.openxmlformats.org/drawingml/2006/main">
          <a:off x="228600" y="2413000"/>
          <a:ext cx="7937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103A56FD-6C18-4527-8BA2-5CEEF7ABD98C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</cdr:x>
      <cdr:y>0.73175</cdr:y>
    </cdr:from>
    <cdr:to>
      <cdr:x>0.18371</cdr:x>
      <cdr:y>0.81809</cdr:y>
    </cdr:to>
    <cdr:sp macro="" textlink="Dat_01!$G$54">
      <cdr:nvSpPr>
        <cdr:cNvPr id="21" name="CuadroTexto 1">
          <a:extLst xmlns:a="http://schemas.openxmlformats.org/drawingml/2006/main">
            <a:ext uri="{FF2B5EF4-FFF2-40B4-BE49-F238E27FC236}">
              <a16:creationId xmlns:a16="http://schemas.microsoft.com/office/drawing/2014/main" id="{00625A11-0C52-5F3E-C33A-6569E60B34A6}"/>
            </a:ext>
          </a:extLst>
        </cdr:cNvPr>
        <cdr:cNvSpPr txBox="1"/>
      </cdr:nvSpPr>
      <cdr:spPr>
        <a:xfrm xmlns:a="http://schemas.openxmlformats.org/drawingml/2006/main">
          <a:off x="209550" y="2774950"/>
          <a:ext cx="60959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16F4B0A3-CC81-45E4-A3C0-8056773F8F7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0.82719</cdr:y>
    </cdr:from>
    <cdr:to>
      <cdr:x>0.40444</cdr:x>
      <cdr:y>0.91354</cdr:y>
    </cdr:to>
    <cdr:sp macro="" textlink="Dat_01!$G$55">
      <cdr:nvSpPr>
        <cdr:cNvPr id="46" name="CuadroTexto 1">
          <a:extLst xmlns:a="http://schemas.openxmlformats.org/drawingml/2006/main">
            <a:ext uri="{FF2B5EF4-FFF2-40B4-BE49-F238E27FC236}">
              <a16:creationId xmlns:a16="http://schemas.microsoft.com/office/drawing/2014/main" id="{21F5C206-FAC1-712D-02D5-74F5892D35FC}"/>
            </a:ext>
          </a:extLst>
        </cdr:cNvPr>
        <cdr:cNvSpPr txBox="1"/>
      </cdr:nvSpPr>
      <cdr:spPr>
        <a:xfrm xmlns:a="http://schemas.openxmlformats.org/drawingml/2006/main">
          <a:off x="215900" y="3136900"/>
          <a:ext cx="158749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D54E057C-4C6B-43A9-9C06-4BBCB6F6172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</cdr:x>
      <cdr:y>0.05281</cdr:y>
    </cdr:from>
    <cdr:to>
      <cdr:x>0.29915</cdr:x>
      <cdr:y>0.13916</cdr:y>
    </cdr:to>
    <cdr:sp macro="" textlink="'Data 6'!$G$7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6EAA6129-5196-F417-8266-3022B8B90038}"/>
            </a:ext>
          </a:extLst>
        </cdr:cNvPr>
        <cdr:cNvSpPr txBox="1"/>
      </cdr:nvSpPr>
      <cdr:spPr>
        <a:xfrm xmlns:a="http://schemas.openxmlformats.org/drawingml/2006/main">
          <a:off x="218427" y="203218"/>
          <a:ext cx="1115072" cy="332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5F8B9490-5ED6-4CD3-934A-41F5232A02F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Solar fotovoltaica 1.331,8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0.04931</cdr:x>
      <cdr:y>0.15268</cdr:y>
    </cdr:from>
    <cdr:to>
      <cdr:x>0.269</cdr:x>
      <cdr:y>0.23902</cdr:y>
    </cdr:to>
    <cdr:sp macro="" textlink="'Data 6'!$G$77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DD07BE16-42C5-B106-81AD-0DF32FFB267E}"/>
            </a:ext>
          </a:extLst>
        </cdr:cNvPr>
        <cdr:cNvSpPr txBox="1"/>
      </cdr:nvSpPr>
      <cdr:spPr>
        <a:xfrm xmlns:a="http://schemas.openxmlformats.org/drawingml/2006/main">
          <a:off x="219822" y="587510"/>
          <a:ext cx="979311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86FDFDDF-9510-422B-A113-C26427C1B93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Cogeneración 298,6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0.04931</cdr:x>
      <cdr:y>0.24971</cdr:y>
    </cdr:from>
    <cdr:to>
      <cdr:x>0.31453</cdr:x>
      <cdr:y>0.33605</cdr:y>
    </cdr:to>
    <cdr:sp macro="" textlink="'Data 6'!$G$78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FB21C581-B143-F1CF-F092-BC3206B9F71C}"/>
            </a:ext>
          </a:extLst>
        </cdr:cNvPr>
        <cdr:cNvSpPr txBox="1"/>
      </cdr:nvSpPr>
      <cdr:spPr>
        <a:xfrm xmlns:a="http://schemas.openxmlformats.org/drawingml/2006/main">
          <a:off x="219810" y="960909"/>
          <a:ext cx="1182270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8C760326-EAA5-4600-B78C-1220EDE5233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Otras renovables 113,1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0.34519</cdr:y>
    </cdr:from>
    <cdr:to>
      <cdr:x>0.35377</cdr:x>
      <cdr:y>0.43154</cdr:y>
    </cdr:to>
    <cdr:sp macro="" textlink="'Data 6'!$G$79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84AA36E8-9D28-CEBE-1C00-513178C56501}"/>
            </a:ext>
          </a:extLst>
        </cdr:cNvPr>
        <cdr:cNvSpPr txBox="1"/>
      </cdr:nvSpPr>
      <cdr:spPr>
        <a:xfrm xmlns:a="http://schemas.openxmlformats.org/drawingml/2006/main">
          <a:off x="224859" y="1328308"/>
          <a:ext cx="1352154" cy="332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55CFF479-06F4-4F54-841B-B4A4C34E3FD9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Residuos no renovables 21,3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0.44064</cdr:y>
    </cdr:from>
    <cdr:to>
      <cdr:x>0.35377</cdr:x>
      <cdr:y>0.52698</cdr:y>
    </cdr:to>
    <cdr:sp macro="" textlink="'Data 6'!$G$80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F8F6F2DC-6998-981B-3E12-8F1FF2DC33A5}"/>
            </a:ext>
          </a:extLst>
        </cdr:cNvPr>
        <cdr:cNvSpPr txBox="1"/>
      </cdr:nvSpPr>
      <cdr:spPr>
        <a:xfrm xmlns:a="http://schemas.openxmlformats.org/drawingml/2006/main">
          <a:off x="224859" y="1695609"/>
          <a:ext cx="1352154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3178489C-196F-493F-8222-FA4E02B2BB6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Residuos renovables 13,9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0.54111</cdr:y>
    </cdr:from>
    <cdr:to>
      <cdr:x>0.22845</cdr:x>
      <cdr:y>0.62745</cdr:y>
    </cdr:to>
    <cdr:sp macro="" textlink="'Data 6'!$G$81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EC597BFA-FF1F-5260-6A10-E2751B6BC50C}"/>
            </a:ext>
          </a:extLst>
        </cdr:cNvPr>
        <cdr:cNvSpPr txBox="1"/>
      </cdr:nvSpPr>
      <cdr:spPr>
        <a:xfrm xmlns:a="http://schemas.openxmlformats.org/drawingml/2006/main">
          <a:off x="224859" y="2082228"/>
          <a:ext cx="793515" cy="332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D026989E-870E-4BCF-9B86-09AF972B57C6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Hidráulica 2,4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0.05329</cdr:x>
      <cdr:y>0.6332</cdr:y>
    </cdr:from>
    <cdr:to>
      <cdr:x>0.26496</cdr:x>
      <cdr:y>0.71955</cdr:y>
    </cdr:to>
    <cdr:sp macro="" textlink="'Data 6'!$G$82">
      <cdr:nvSpPr>
        <cdr:cNvPr id="12" name="CuadroTexto 1">
          <a:extLst xmlns:a="http://schemas.openxmlformats.org/drawingml/2006/main">
            <a:ext uri="{FF2B5EF4-FFF2-40B4-BE49-F238E27FC236}">
              <a16:creationId xmlns:a16="http://schemas.microsoft.com/office/drawing/2014/main" id="{F8A86803-7C4F-72CF-9BA6-81E2971A1BA5}"/>
            </a:ext>
          </a:extLst>
        </cdr:cNvPr>
        <cdr:cNvSpPr txBox="1"/>
      </cdr:nvSpPr>
      <cdr:spPr>
        <a:xfrm xmlns:a="http://schemas.openxmlformats.org/drawingml/2006/main">
          <a:off x="237551" y="2436617"/>
          <a:ext cx="943548" cy="332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D643838-FC5D-44DE-9CFF-02310816EFE2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Solar térmica 0,1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0.04902</cdr:x>
      <cdr:y>0.72865</cdr:y>
    </cdr:from>
    <cdr:to>
      <cdr:x>0.18573</cdr:x>
      <cdr:y>0.81499</cdr:y>
    </cdr:to>
    <cdr:sp macro="" textlink="'Data 6'!$G$83">
      <cdr:nvSpPr>
        <cdr:cNvPr id="13" name="CuadroTexto 1">
          <a:extLst xmlns:a="http://schemas.openxmlformats.org/drawingml/2006/main">
            <a:ext uri="{FF2B5EF4-FFF2-40B4-BE49-F238E27FC236}">
              <a16:creationId xmlns:a16="http://schemas.microsoft.com/office/drawing/2014/main" id="{A4B9F597-D4B8-A662-7072-82259023A6D2}"/>
            </a:ext>
          </a:extLst>
        </cdr:cNvPr>
        <cdr:cNvSpPr txBox="1"/>
      </cdr:nvSpPr>
      <cdr:spPr>
        <a:xfrm xmlns:a="http://schemas.openxmlformats.org/drawingml/2006/main">
          <a:off x="218529" y="2803900"/>
          <a:ext cx="609412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EB2180DE-BE03-4FC5-9B0F-BA08BF789116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Eólica 0,0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0.82409</cdr:y>
    </cdr:from>
    <cdr:to>
      <cdr:x>0.46073</cdr:x>
      <cdr:y>0.91044</cdr:y>
    </cdr:to>
    <cdr:sp macro="" textlink="'Data 6'!$G$84">
      <cdr:nvSpPr>
        <cdr:cNvPr id="14" name="CuadroTexto 1">
          <a:extLst xmlns:a="http://schemas.openxmlformats.org/drawingml/2006/main">
            <a:ext uri="{FF2B5EF4-FFF2-40B4-BE49-F238E27FC236}">
              <a16:creationId xmlns:a16="http://schemas.microsoft.com/office/drawing/2014/main" id="{85D0A028-D7A5-04AA-6ED6-CE9949B3DA9A}"/>
            </a:ext>
          </a:extLst>
        </cdr:cNvPr>
        <cdr:cNvSpPr txBox="1"/>
      </cdr:nvSpPr>
      <cdr:spPr>
        <a:xfrm xmlns:a="http://schemas.openxmlformats.org/drawingml/2006/main">
          <a:off x="218985" y="3075417"/>
          <a:ext cx="1781264" cy="322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EB3CC907-DD49-4091-9C21-89DF3C0CCFBB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Generación total autoconsumo 1.781,1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6</xdr:col>
      <xdr:colOff>3972224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15264" y="493395"/>
          <a:ext cx="97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5</xdr:col>
      <xdr:colOff>0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30"/>
  <sheetViews>
    <sheetView showGridLines="0" showRowColHeaders="0" tabSelected="1" workbookViewId="0">
      <selection activeCell="K21" sqref="K21"/>
    </sheetView>
  </sheetViews>
  <sheetFormatPr baseColWidth="10" defaultColWidth="11.42578125" defaultRowHeight="12.75"/>
  <cols>
    <col min="1" max="1" width="0.42578125" style="129" customWidth="1"/>
    <col min="2" max="2" width="2.5703125" style="129" customWidth="1"/>
    <col min="3" max="3" width="16.42578125" style="129" customWidth="1"/>
    <col min="4" max="4" width="4.5703125" style="129" customWidth="1"/>
    <col min="5" max="5" width="95.5703125" style="129" customWidth="1"/>
    <col min="6" max="16384" width="11.42578125" style="129"/>
  </cols>
  <sheetData>
    <row r="1" spans="2:15" ht="0.75" customHeight="1"/>
    <row r="2" spans="2:15" ht="21" customHeight="1">
      <c r="B2" s="129" t="s">
        <v>62</v>
      </c>
      <c r="C2" s="130"/>
      <c r="D2" s="130"/>
      <c r="E2" s="100" t="s">
        <v>1</v>
      </c>
    </row>
    <row r="3" spans="2:15" ht="15" customHeight="1">
      <c r="C3" s="130"/>
      <c r="D3" s="130"/>
      <c r="E3" s="101" t="str">
        <f>Dat_01!A2</f>
        <v>Junio 2026</v>
      </c>
    </row>
    <row r="4" spans="2:15" s="132" customFormat="1" ht="20.25" customHeight="1">
      <c r="B4" s="131"/>
      <c r="C4" s="99" t="s">
        <v>64</v>
      </c>
    </row>
    <row r="5" spans="2:15" s="132" customFormat="1" ht="8.25" customHeight="1">
      <c r="B5" s="131"/>
      <c r="C5" s="133"/>
    </row>
    <row r="6" spans="2:15" s="132" customFormat="1" ht="3" customHeight="1">
      <c r="B6" s="131"/>
      <c r="C6" s="133"/>
    </row>
    <row r="7" spans="2:15" s="132" customFormat="1" ht="7.5" customHeight="1">
      <c r="B7" s="131"/>
      <c r="C7" s="134"/>
      <c r="D7" s="135"/>
      <c r="E7" s="135"/>
    </row>
    <row r="8" spans="2:15" ht="12.6" customHeight="1">
      <c r="D8" s="136" t="s">
        <v>63</v>
      </c>
      <c r="E8" s="137" t="s">
        <v>75</v>
      </c>
    </row>
    <row r="9" spans="2:15" s="132" customFormat="1" ht="12.6" customHeight="1">
      <c r="B9" s="131"/>
      <c r="C9" s="138"/>
      <c r="D9" s="136" t="s">
        <v>63</v>
      </c>
      <c r="E9" s="137" t="str">
        <f>'P2'!C7</f>
        <v>Estructura de potencia instalada de generación peninsular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s="132" customFormat="1" ht="12.6" customHeight="1">
      <c r="B10" s="131"/>
      <c r="C10" s="138"/>
      <c r="D10" s="136" t="s">
        <v>63</v>
      </c>
      <c r="E10" s="137" t="str">
        <f>'P2'!C23</f>
        <v>Estructura de generación mensual peninsular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12.6" customHeight="1">
      <c r="D11" s="136" t="s">
        <v>63</v>
      </c>
      <c r="E11" s="137" t="str">
        <f>'P3'!C7</f>
        <v xml:space="preserve">Estructura de generación diaria del día de máxima generación de energía renovable peninsular
</v>
      </c>
    </row>
    <row r="12" spans="2:15" ht="12.6" customHeight="1">
      <c r="D12" s="136" t="s">
        <v>63</v>
      </c>
      <c r="E12" s="137" t="str">
        <f>'P4'!C7</f>
        <v>Evolución del peso de la generación renovable y no renovable peninsular</v>
      </c>
    </row>
    <row r="13" spans="2:15" ht="12.6" customHeight="1">
      <c r="D13" s="136" t="s">
        <v>63</v>
      </c>
      <c r="E13" s="137" t="str">
        <f>'P5'!C7</f>
        <v>Evolución de las emisiones de CO2 equivalente y peso de la generación libre de CO2 peninsular</v>
      </c>
    </row>
    <row r="14" spans="2:15" ht="12.6" customHeight="1">
      <c r="D14" s="136" t="s">
        <v>63</v>
      </c>
      <c r="E14" s="137" t="str">
        <f>'P6'!C7</f>
        <v xml:space="preserve">Evolución de la generación renovable peninsular </v>
      </c>
    </row>
    <row r="15" spans="2:15" ht="12.6" customHeight="1">
      <c r="D15" s="136" t="s">
        <v>63</v>
      </c>
      <c r="E15" s="137" t="str">
        <f>'P7'!C7</f>
        <v xml:space="preserve">Evolución de la generación no renovable peninsular </v>
      </c>
    </row>
    <row r="16" spans="2:15" ht="12.6" customHeight="1">
      <c r="D16" s="136" t="s">
        <v>63</v>
      </c>
      <c r="E16" s="137" t="str">
        <f>'P8'!C7</f>
        <v>Generación eólica diaria peninsular</v>
      </c>
    </row>
    <row r="17" spans="2:5" ht="12.6" customHeight="1">
      <c r="D17" s="136" t="s">
        <v>63</v>
      </c>
      <c r="E17" s="137" t="str">
        <f>'P9'!C7</f>
        <v>Máximos de generación de energía eólica peninsular</v>
      </c>
    </row>
    <row r="18" spans="2:5" ht="12.6" customHeight="1">
      <c r="D18" s="136" t="s">
        <v>63</v>
      </c>
      <c r="E18" s="137" t="str">
        <f>'P10'!C7</f>
        <v>Energía producible eólica comparada con el producible eólico medio histórico</v>
      </c>
    </row>
    <row r="19" spans="2:5" ht="12.6" customHeight="1">
      <c r="D19" s="136" t="s">
        <v>63</v>
      </c>
      <c r="E19" s="137" t="str">
        <f>'P11'!C7</f>
        <v>Generación solar fotovoltaica diaria peninsular</v>
      </c>
    </row>
    <row r="20" spans="2:5" ht="12.6" customHeight="1">
      <c r="D20" s="136" t="s">
        <v>63</v>
      </c>
      <c r="E20" s="137" t="str">
        <f>'P12'!C7</f>
        <v>Máximos de generación de energía solar fotovoltaica peninsular</v>
      </c>
    </row>
    <row r="21" spans="2:5" ht="12.6" customHeight="1">
      <c r="D21" s="136" t="s">
        <v>63</v>
      </c>
      <c r="E21" s="137" t="str">
        <f>'P13'!C7</f>
        <v>Energía producible solar fotovoltaica comparada con el producible solar fotovoltaico medio histórico</v>
      </c>
    </row>
    <row r="22" spans="2:5" ht="12.6" customHeight="1">
      <c r="D22" s="136" t="s">
        <v>63</v>
      </c>
      <c r="E22" s="137" t="str">
        <f>'P14'!B7</f>
        <v>Energía producible hidráulica diaria comparada con el producible medio histórico</v>
      </c>
    </row>
    <row r="23" spans="2:5" ht="12.6" customHeight="1">
      <c r="D23" s="136" t="s">
        <v>63</v>
      </c>
      <c r="E23" s="137" t="str">
        <f>'P15'!B7</f>
        <v>Reservas hidroeléctricas</v>
      </c>
    </row>
    <row r="24" spans="2:5" ht="12.6" customHeight="1">
      <c r="D24" s="136" t="s">
        <v>63</v>
      </c>
      <c r="E24" s="137" t="str">
        <f>'P16'!C7</f>
        <v>Reservas hidroeléctricas a finales de mes por cuencas hidrográficas</v>
      </c>
    </row>
    <row r="25" spans="2:5" ht="12.6" customHeight="1">
      <c r="D25" s="136" t="s">
        <v>63</v>
      </c>
      <c r="E25" s="137" t="str">
        <f>'P17'!C7</f>
        <v>Estructura de potencia instalada de almacenamiento peninsular</v>
      </c>
    </row>
    <row r="26" spans="2:5" ht="12.6" customHeight="1">
      <c r="D26" s="136" t="s">
        <v>63</v>
      </c>
      <c r="E26" s="137" t="str">
        <f>'P18'!B7</f>
        <v>Evolución de la energía de almacenamiento peninsular</v>
      </c>
    </row>
    <row r="27" spans="2:5" ht="12.6" customHeight="1">
      <c r="D27" s="136" t="s">
        <v>63</v>
      </c>
      <c r="E27" s="137" t="str">
        <f>'P19'!C7</f>
        <v>Balance de energía de almacenamiento peninsular</v>
      </c>
    </row>
    <row r="28" spans="2:5" ht="12.6" customHeight="1">
      <c r="D28" s="136" t="s">
        <v>63</v>
      </c>
      <c r="E28" s="137" t="s">
        <v>254</v>
      </c>
    </row>
    <row r="29" spans="2:5" ht="12.6" customHeight="1">
      <c r="D29" s="136" t="s">
        <v>63</v>
      </c>
      <c r="E29" s="137" t="s">
        <v>253</v>
      </c>
    </row>
    <row r="30" spans="2:5" s="132" customFormat="1" ht="7.5" customHeight="1">
      <c r="B30" s="131"/>
      <c r="C30" s="134"/>
      <c r="D30" s="135"/>
      <c r="E30" s="135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'!A1" display="'P6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3" location="'P15'!A1" display="'P15'!A1" xr:uid="{00000000-0004-0000-0000-00000C000000}"/>
    <hyperlink ref="E24" location="'P16'!A1" display="'P16'!A1" xr:uid="{00000000-0004-0000-0000-00000D000000}"/>
    <hyperlink ref="E20" location="'P12'!A1" display="'P12'!A1" xr:uid="{496CADB2-97FB-46B7-8BFC-0C9899AB4CAD}"/>
    <hyperlink ref="E21" location="'P13'!A1" display="'P13'!A1" xr:uid="{5D974B15-FD20-432C-AA15-7FB85CB73D5B}"/>
    <hyperlink ref="E22" location="'P14'!A1" display="'P14'!A1" xr:uid="{C8CAE280-F896-4679-BC65-839CC803C5DE}"/>
    <hyperlink ref="E25" location="'P17'!A1" display="'P17'!A1" xr:uid="{4DF7AE30-4DCF-43A0-B19A-225E64AC0297}"/>
    <hyperlink ref="E26" location="'P18'!A1" display="'P18'!A1" xr:uid="{CEC7A42C-9D2A-4E26-BEE2-C357B0E68CF8}"/>
    <hyperlink ref="E27" location="'P19'!A1" display="'P19'!A1" xr:uid="{B7EDF577-931B-4EEA-BF2E-BE57E610A38C}"/>
    <hyperlink ref="E28" location="'P20'!A1" display="Evolución de la potencia instalada autoconsumo peninsular " xr:uid="{FBFF1666-24FF-44DA-8241-0EE52282FCC5}"/>
    <hyperlink ref="E29" location="'P21'!A1" display="Generación autoconsumo peninsular" xr:uid="{CB87AC1F-64A2-49E3-A52C-394CD20CDB89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Junio 2026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33" t="s">
        <v>22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33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Junio 2026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33" t="s">
        <v>23</v>
      </c>
      <c r="E7" s="111"/>
      <c r="F7" s="334" t="str">
        <f>Dat_01!A2</f>
        <v>Junio 2026</v>
      </c>
      <c r="G7" s="335"/>
      <c r="H7" s="336" t="s">
        <v>25</v>
      </c>
      <c r="I7" s="33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33"/>
      <c r="E8" s="112" t="s">
        <v>26</v>
      </c>
      <c r="F8" s="246">
        <v>12122</v>
      </c>
      <c r="G8" s="247" t="s">
        <v>303</v>
      </c>
      <c r="H8" s="246">
        <v>20897</v>
      </c>
      <c r="I8" s="247" t="s">
        <v>179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4"/>
      <c r="E9" s="113" t="s">
        <v>27</v>
      </c>
      <c r="F9" s="227">
        <v>48.7</v>
      </c>
      <c r="G9" s="228" t="s">
        <v>304</v>
      </c>
      <c r="H9" s="224">
        <v>83.6</v>
      </c>
      <c r="I9" s="228" t="s">
        <v>166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Junio 2026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33" t="s">
        <v>160</v>
      </c>
      <c r="E7" s="4"/>
    </row>
    <row r="8" spans="3:34">
      <c r="C8" s="333"/>
      <c r="E8" s="4"/>
    </row>
    <row r="9" spans="3:34">
      <c r="C9" s="333"/>
      <c r="E9" s="4"/>
    </row>
    <row r="10" spans="3:34">
      <c r="C10" s="333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A74-F091-4CFF-9A8D-CB0531EE6308}">
  <sheetPr codeName="Hoja11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Junio 2026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33" t="s">
        <v>182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33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245-D9AF-4A08-AD60-7280E4611B93}">
  <sheetPr codeName="Hoja12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Junio 2026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33" t="s">
        <v>183</v>
      </c>
      <c r="E7" s="111"/>
      <c r="F7" s="334" t="str">
        <f>Dat_01!A2</f>
        <v>Junio 2026</v>
      </c>
      <c r="G7" s="335"/>
      <c r="H7" s="336" t="s">
        <v>25</v>
      </c>
      <c r="I7" s="33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33"/>
      <c r="E8" s="112" t="s">
        <v>26</v>
      </c>
      <c r="F8" s="246">
        <v>25255</v>
      </c>
      <c r="G8" s="247" t="s">
        <v>305</v>
      </c>
      <c r="H8" s="246">
        <v>25023</v>
      </c>
      <c r="I8" s="247" t="s">
        <v>285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333"/>
      <c r="E9" s="113" t="s">
        <v>27</v>
      </c>
      <c r="F9" s="301">
        <v>84.3</v>
      </c>
      <c r="G9" s="302" t="s">
        <v>306</v>
      </c>
      <c r="H9" s="224">
        <v>88.1</v>
      </c>
      <c r="I9" s="228" t="s">
        <v>286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7C2-2ED0-40C3-B2C7-3312C1975BBC}">
  <sheetPr codeName="Hoja22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Junio 2026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33" t="s">
        <v>184</v>
      </c>
      <c r="E7" s="4"/>
    </row>
    <row r="8" spans="3:34">
      <c r="C8" s="333"/>
      <c r="E8" s="4"/>
    </row>
    <row r="9" spans="3:34">
      <c r="C9" s="333"/>
      <c r="E9" s="4"/>
    </row>
    <row r="10" spans="3:34">
      <c r="C10" s="333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AA427"/>
  <sheetViews>
    <sheetView showGridLines="0" showRowColHeaders="0" topLeftCell="A2" zoomScaleNormal="100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126</v>
      </c>
    </row>
    <row r="3" spans="2:22" ht="15" customHeight="1">
      <c r="D3" s="109" t="str">
        <f>Indice!E3</f>
        <v>Junio 2026</v>
      </c>
    </row>
    <row r="4" spans="2:22" ht="20.100000000000001" customHeight="1">
      <c r="B4" s="99" t="s">
        <v>128</v>
      </c>
      <c r="V4" s="54"/>
    </row>
    <row r="5" spans="2:22">
      <c r="V5" s="54"/>
    </row>
    <row r="6" spans="2:22">
      <c r="V6" s="54"/>
    </row>
    <row r="7" spans="2:22">
      <c r="B7" s="333" t="s">
        <v>24</v>
      </c>
      <c r="V7" s="54"/>
    </row>
    <row r="8" spans="2:22">
      <c r="B8" s="333"/>
      <c r="V8" s="54"/>
    </row>
    <row r="9" spans="2:22">
      <c r="B9" s="333"/>
      <c r="V9" s="54"/>
    </row>
    <row r="10" spans="2:22">
      <c r="B10" s="102" t="s">
        <v>127</v>
      </c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325-584D-4657-A657-8EED785A07AC}">
  <sheetPr codeName="Hoja26"/>
  <dimension ref="A1:AG405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5703125" style="50"/>
    <col min="265" max="265" width="4.42578125" style="50" customWidth="1"/>
    <col min="266" max="266" width="13.42578125" style="50" customWidth="1"/>
    <col min="267" max="271" width="11.5703125" style="50"/>
    <col min="272" max="272" width="4.5703125" style="50" customWidth="1"/>
    <col min="273" max="520" width="11.5703125" style="50"/>
    <col min="521" max="521" width="4.42578125" style="50" customWidth="1"/>
    <col min="522" max="522" width="13.42578125" style="50" customWidth="1"/>
    <col min="523" max="527" width="11.5703125" style="50"/>
    <col min="528" max="528" width="4.5703125" style="50" customWidth="1"/>
    <col min="529" max="776" width="11.5703125" style="50"/>
    <col min="777" max="777" width="4.42578125" style="50" customWidth="1"/>
    <col min="778" max="778" width="13.42578125" style="50" customWidth="1"/>
    <col min="779" max="783" width="11.5703125" style="50"/>
    <col min="784" max="784" width="4.5703125" style="50" customWidth="1"/>
    <col min="785" max="1032" width="11.5703125" style="50"/>
    <col min="1033" max="1033" width="4.42578125" style="50" customWidth="1"/>
    <col min="1034" max="1034" width="13.42578125" style="50" customWidth="1"/>
    <col min="1035" max="1039" width="11.5703125" style="50"/>
    <col min="1040" max="1040" width="4.5703125" style="50" customWidth="1"/>
    <col min="1041" max="1288" width="11.5703125" style="50"/>
    <col min="1289" max="1289" width="4.42578125" style="50" customWidth="1"/>
    <col min="1290" max="1290" width="13.42578125" style="50" customWidth="1"/>
    <col min="1291" max="1295" width="11.5703125" style="50"/>
    <col min="1296" max="1296" width="4.5703125" style="50" customWidth="1"/>
    <col min="1297" max="1544" width="11.5703125" style="50"/>
    <col min="1545" max="1545" width="4.42578125" style="50" customWidth="1"/>
    <col min="1546" max="1546" width="13.42578125" style="50" customWidth="1"/>
    <col min="1547" max="1551" width="11.5703125" style="50"/>
    <col min="1552" max="1552" width="4.5703125" style="50" customWidth="1"/>
    <col min="1553" max="1800" width="11.5703125" style="50"/>
    <col min="1801" max="1801" width="4.42578125" style="50" customWidth="1"/>
    <col min="1802" max="1802" width="13.42578125" style="50" customWidth="1"/>
    <col min="1803" max="1807" width="11.5703125" style="50"/>
    <col min="1808" max="1808" width="4.5703125" style="50" customWidth="1"/>
    <col min="1809" max="2056" width="11.5703125" style="50"/>
    <col min="2057" max="2057" width="4.42578125" style="50" customWidth="1"/>
    <col min="2058" max="2058" width="13.42578125" style="50" customWidth="1"/>
    <col min="2059" max="2063" width="11.5703125" style="50"/>
    <col min="2064" max="2064" width="4.5703125" style="50" customWidth="1"/>
    <col min="2065" max="2312" width="11.5703125" style="50"/>
    <col min="2313" max="2313" width="4.42578125" style="50" customWidth="1"/>
    <col min="2314" max="2314" width="13.42578125" style="50" customWidth="1"/>
    <col min="2315" max="2319" width="11.5703125" style="50"/>
    <col min="2320" max="2320" width="4.5703125" style="50" customWidth="1"/>
    <col min="2321" max="2568" width="11.5703125" style="50"/>
    <col min="2569" max="2569" width="4.42578125" style="50" customWidth="1"/>
    <col min="2570" max="2570" width="13.42578125" style="50" customWidth="1"/>
    <col min="2571" max="2575" width="11.5703125" style="50"/>
    <col min="2576" max="2576" width="4.5703125" style="50" customWidth="1"/>
    <col min="2577" max="2824" width="11.5703125" style="50"/>
    <col min="2825" max="2825" width="4.42578125" style="50" customWidth="1"/>
    <col min="2826" max="2826" width="13.42578125" style="50" customWidth="1"/>
    <col min="2827" max="2831" width="11.5703125" style="50"/>
    <col min="2832" max="2832" width="4.5703125" style="50" customWidth="1"/>
    <col min="2833" max="3080" width="11.5703125" style="50"/>
    <col min="3081" max="3081" width="4.42578125" style="50" customWidth="1"/>
    <col min="3082" max="3082" width="13.42578125" style="50" customWidth="1"/>
    <col min="3083" max="3087" width="11.5703125" style="50"/>
    <col min="3088" max="3088" width="4.5703125" style="50" customWidth="1"/>
    <col min="3089" max="3336" width="11.5703125" style="50"/>
    <col min="3337" max="3337" width="4.42578125" style="50" customWidth="1"/>
    <col min="3338" max="3338" width="13.42578125" style="50" customWidth="1"/>
    <col min="3339" max="3343" width="11.5703125" style="50"/>
    <col min="3344" max="3344" width="4.5703125" style="50" customWidth="1"/>
    <col min="3345" max="3592" width="11.5703125" style="50"/>
    <col min="3593" max="3593" width="4.42578125" style="50" customWidth="1"/>
    <col min="3594" max="3594" width="13.42578125" style="50" customWidth="1"/>
    <col min="3595" max="3599" width="11.5703125" style="50"/>
    <col min="3600" max="3600" width="4.5703125" style="50" customWidth="1"/>
    <col min="3601" max="3848" width="11.5703125" style="50"/>
    <col min="3849" max="3849" width="4.42578125" style="50" customWidth="1"/>
    <col min="3850" max="3850" width="13.42578125" style="50" customWidth="1"/>
    <col min="3851" max="3855" width="11.5703125" style="50"/>
    <col min="3856" max="3856" width="4.5703125" style="50" customWidth="1"/>
    <col min="3857" max="4104" width="11.5703125" style="50"/>
    <col min="4105" max="4105" width="4.42578125" style="50" customWidth="1"/>
    <col min="4106" max="4106" width="13.42578125" style="50" customWidth="1"/>
    <col min="4107" max="4111" width="11.5703125" style="50"/>
    <col min="4112" max="4112" width="4.5703125" style="50" customWidth="1"/>
    <col min="4113" max="4360" width="11.5703125" style="50"/>
    <col min="4361" max="4361" width="4.42578125" style="50" customWidth="1"/>
    <col min="4362" max="4362" width="13.42578125" style="50" customWidth="1"/>
    <col min="4363" max="4367" width="11.5703125" style="50"/>
    <col min="4368" max="4368" width="4.5703125" style="50" customWidth="1"/>
    <col min="4369" max="4616" width="11.5703125" style="50"/>
    <col min="4617" max="4617" width="4.42578125" style="50" customWidth="1"/>
    <col min="4618" max="4618" width="13.42578125" style="50" customWidth="1"/>
    <col min="4619" max="4623" width="11.5703125" style="50"/>
    <col min="4624" max="4624" width="4.5703125" style="50" customWidth="1"/>
    <col min="4625" max="4872" width="11.5703125" style="50"/>
    <col min="4873" max="4873" width="4.42578125" style="50" customWidth="1"/>
    <col min="4874" max="4874" width="13.42578125" style="50" customWidth="1"/>
    <col min="4875" max="4879" width="11.5703125" style="50"/>
    <col min="4880" max="4880" width="4.5703125" style="50" customWidth="1"/>
    <col min="4881" max="5128" width="11.5703125" style="50"/>
    <col min="5129" max="5129" width="4.42578125" style="50" customWidth="1"/>
    <col min="5130" max="5130" width="13.42578125" style="50" customWidth="1"/>
    <col min="5131" max="5135" width="11.5703125" style="50"/>
    <col min="5136" max="5136" width="4.5703125" style="50" customWidth="1"/>
    <col min="5137" max="5384" width="11.5703125" style="50"/>
    <col min="5385" max="5385" width="4.42578125" style="50" customWidth="1"/>
    <col min="5386" max="5386" width="13.42578125" style="50" customWidth="1"/>
    <col min="5387" max="5391" width="11.5703125" style="50"/>
    <col min="5392" max="5392" width="4.5703125" style="50" customWidth="1"/>
    <col min="5393" max="5640" width="11.5703125" style="50"/>
    <col min="5641" max="5641" width="4.42578125" style="50" customWidth="1"/>
    <col min="5642" max="5642" width="13.42578125" style="50" customWidth="1"/>
    <col min="5643" max="5647" width="11.5703125" style="50"/>
    <col min="5648" max="5648" width="4.5703125" style="50" customWidth="1"/>
    <col min="5649" max="5896" width="11.5703125" style="50"/>
    <col min="5897" max="5897" width="4.42578125" style="50" customWidth="1"/>
    <col min="5898" max="5898" width="13.42578125" style="50" customWidth="1"/>
    <col min="5899" max="5903" width="11.5703125" style="50"/>
    <col min="5904" max="5904" width="4.5703125" style="50" customWidth="1"/>
    <col min="5905" max="6152" width="11.5703125" style="50"/>
    <col min="6153" max="6153" width="4.42578125" style="50" customWidth="1"/>
    <col min="6154" max="6154" width="13.42578125" style="50" customWidth="1"/>
    <col min="6155" max="6159" width="11.5703125" style="50"/>
    <col min="6160" max="6160" width="4.5703125" style="50" customWidth="1"/>
    <col min="6161" max="6408" width="11.5703125" style="50"/>
    <col min="6409" max="6409" width="4.42578125" style="50" customWidth="1"/>
    <col min="6410" max="6410" width="13.42578125" style="50" customWidth="1"/>
    <col min="6411" max="6415" width="11.5703125" style="50"/>
    <col min="6416" max="6416" width="4.5703125" style="50" customWidth="1"/>
    <col min="6417" max="6664" width="11.5703125" style="50"/>
    <col min="6665" max="6665" width="4.42578125" style="50" customWidth="1"/>
    <col min="6666" max="6666" width="13.42578125" style="50" customWidth="1"/>
    <col min="6667" max="6671" width="11.5703125" style="50"/>
    <col min="6672" max="6672" width="4.5703125" style="50" customWidth="1"/>
    <col min="6673" max="6920" width="11.5703125" style="50"/>
    <col min="6921" max="6921" width="4.42578125" style="50" customWidth="1"/>
    <col min="6922" max="6922" width="13.42578125" style="50" customWidth="1"/>
    <col min="6923" max="6927" width="11.5703125" style="50"/>
    <col min="6928" max="6928" width="4.5703125" style="50" customWidth="1"/>
    <col min="6929" max="7176" width="11.5703125" style="50"/>
    <col min="7177" max="7177" width="4.42578125" style="50" customWidth="1"/>
    <col min="7178" max="7178" width="13.42578125" style="50" customWidth="1"/>
    <col min="7179" max="7183" width="11.5703125" style="50"/>
    <col min="7184" max="7184" width="4.5703125" style="50" customWidth="1"/>
    <col min="7185" max="7432" width="11.5703125" style="50"/>
    <col min="7433" max="7433" width="4.42578125" style="50" customWidth="1"/>
    <col min="7434" max="7434" width="13.42578125" style="50" customWidth="1"/>
    <col min="7435" max="7439" width="11.5703125" style="50"/>
    <col min="7440" max="7440" width="4.5703125" style="50" customWidth="1"/>
    <col min="7441" max="7688" width="11.5703125" style="50"/>
    <col min="7689" max="7689" width="4.42578125" style="50" customWidth="1"/>
    <col min="7690" max="7690" width="13.42578125" style="50" customWidth="1"/>
    <col min="7691" max="7695" width="11.5703125" style="50"/>
    <col min="7696" max="7696" width="4.5703125" style="50" customWidth="1"/>
    <col min="7697" max="7944" width="11.5703125" style="50"/>
    <col min="7945" max="7945" width="4.42578125" style="50" customWidth="1"/>
    <col min="7946" max="7946" width="13.42578125" style="50" customWidth="1"/>
    <col min="7947" max="7951" width="11.5703125" style="50"/>
    <col min="7952" max="7952" width="4.5703125" style="50" customWidth="1"/>
    <col min="7953" max="8200" width="11.5703125" style="50"/>
    <col min="8201" max="8201" width="4.42578125" style="50" customWidth="1"/>
    <col min="8202" max="8202" width="13.42578125" style="50" customWidth="1"/>
    <col min="8203" max="8207" width="11.5703125" style="50"/>
    <col min="8208" max="8208" width="4.5703125" style="50" customWidth="1"/>
    <col min="8209" max="8456" width="11.5703125" style="50"/>
    <col min="8457" max="8457" width="4.42578125" style="50" customWidth="1"/>
    <col min="8458" max="8458" width="13.42578125" style="50" customWidth="1"/>
    <col min="8459" max="8463" width="11.5703125" style="50"/>
    <col min="8464" max="8464" width="4.5703125" style="50" customWidth="1"/>
    <col min="8465" max="8712" width="11.5703125" style="50"/>
    <col min="8713" max="8713" width="4.42578125" style="50" customWidth="1"/>
    <col min="8714" max="8714" width="13.42578125" style="50" customWidth="1"/>
    <col min="8715" max="8719" width="11.5703125" style="50"/>
    <col min="8720" max="8720" width="4.5703125" style="50" customWidth="1"/>
    <col min="8721" max="8968" width="11.5703125" style="50"/>
    <col min="8969" max="8969" width="4.42578125" style="50" customWidth="1"/>
    <col min="8970" max="8970" width="13.42578125" style="50" customWidth="1"/>
    <col min="8971" max="8975" width="11.5703125" style="50"/>
    <col min="8976" max="8976" width="4.5703125" style="50" customWidth="1"/>
    <col min="8977" max="9224" width="11.5703125" style="50"/>
    <col min="9225" max="9225" width="4.42578125" style="50" customWidth="1"/>
    <col min="9226" max="9226" width="13.42578125" style="50" customWidth="1"/>
    <col min="9227" max="9231" width="11.5703125" style="50"/>
    <col min="9232" max="9232" width="4.5703125" style="50" customWidth="1"/>
    <col min="9233" max="9480" width="11.5703125" style="50"/>
    <col min="9481" max="9481" width="4.42578125" style="50" customWidth="1"/>
    <col min="9482" max="9482" width="13.42578125" style="50" customWidth="1"/>
    <col min="9483" max="9487" width="11.5703125" style="50"/>
    <col min="9488" max="9488" width="4.5703125" style="50" customWidth="1"/>
    <col min="9489" max="9736" width="11.5703125" style="50"/>
    <col min="9737" max="9737" width="4.42578125" style="50" customWidth="1"/>
    <col min="9738" max="9738" width="13.42578125" style="50" customWidth="1"/>
    <col min="9739" max="9743" width="11.5703125" style="50"/>
    <col min="9744" max="9744" width="4.5703125" style="50" customWidth="1"/>
    <col min="9745" max="9992" width="11.5703125" style="50"/>
    <col min="9993" max="9993" width="4.42578125" style="50" customWidth="1"/>
    <col min="9994" max="9994" width="13.42578125" style="50" customWidth="1"/>
    <col min="9995" max="9999" width="11.5703125" style="50"/>
    <col min="10000" max="10000" width="4.5703125" style="50" customWidth="1"/>
    <col min="10001" max="10248" width="11.5703125" style="50"/>
    <col min="10249" max="10249" width="4.42578125" style="50" customWidth="1"/>
    <col min="10250" max="10250" width="13.42578125" style="50" customWidth="1"/>
    <col min="10251" max="10255" width="11.5703125" style="50"/>
    <col min="10256" max="10256" width="4.5703125" style="50" customWidth="1"/>
    <col min="10257" max="10504" width="11.5703125" style="50"/>
    <col min="10505" max="10505" width="4.42578125" style="50" customWidth="1"/>
    <col min="10506" max="10506" width="13.42578125" style="50" customWidth="1"/>
    <col min="10507" max="10511" width="11.5703125" style="50"/>
    <col min="10512" max="10512" width="4.5703125" style="50" customWidth="1"/>
    <col min="10513" max="10760" width="11.5703125" style="50"/>
    <col min="10761" max="10761" width="4.42578125" style="50" customWidth="1"/>
    <col min="10762" max="10762" width="13.42578125" style="50" customWidth="1"/>
    <col min="10763" max="10767" width="11.5703125" style="50"/>
    <col min="10768" max="10768" width="4.5703125" style="50" customWidth="1"/>
    <col min="10769" max="11016" width="11.5703125" style="50"/>
    <col min="11017" max="11017" width="4.42578125" style="50" customWidth="1"/>
    <col min="11018" max="11018" width="13.42578125" style="50" customWidth="1"/>
    <col min="11019" max="11023" width="11.5703125" style="50"/>
    <col min="11024" max="11024" width="4.5703125" style="50" customWidth="1"/>
    <col min="11025" max="11272" width="11.5703125" style="50"/>
    <col min="11273" max="11273" width="4.42578125" style="50" customWidth="1"/>
    <col min="11274" max="11274" width="13.42578125" style="50" customWidth="1"/>
    <col min="11275" max="11279" width="11.5703125" style="50"/>
    <col min="11280" max="11280" width="4.5703125" style="50" customWidth="1"/>
    <col min="11281" max="11528" width="11.5703125" style="50"/>
    <col min="11529" max="11529" width="4.42578125" style="50" customWidth="1"/>
    <col min="11530" max="11530" width="13.42578125" style="50" customWidth="1"/>
    <col min="11531" max="11535" width="11.5703125" style="50"/>
    <col min="11536" max="11536" width="4.5703125" style="50" customWidth="1"/>
    <col min="11537" max="11784" width="11.5703125" style="50"/>
    <col min="11785" max="11785" width="4.42578125" style="50" customWidth="1"/>
    <col min="11786" max="11786" width="13.42578125" style="50" customWidth="1"/>
    <col min="11787" max="11791" width="11.5703125" style="50"/>
    <col min="11792" max="11792" width="4.5703125" style="50" customWidth="1"/>
    <col min="11793" max="12040" width="11.5703125" style="50"/>
    <col min="12041" max="12041" width="4.42578125" style="50" customWidth="1"/>
    <col min="12042" max="12042" width="13.42578125" style="50" customWidth="1"/>
    <col min="12043" max="12047" width="11.5703125" style="50"/>
    <col min="12048" max="12048" width="4.5703125" style="50" customWidth="1"/>
    <col min="12049" max="12296" width="11.5703125" style="50"/>
    <col min="12297" max="12297" width="4.42578125" style="50" customWidth="1"/>
    <col min="12298" max="12298" width="13.42578125" style="50" customWidth="1"/>
    <col min="12299" max="12303" width="11.5703125" style="50"/>
    <col min="12304" max="12304" width="4.5703125" style="50" customWidth="1"/>
    <col min="12305" max="12552" width="11.5703125" style="50"/>
    <col min="12553" max="12553" width="4.42578125" style="50" customWidth="1"/>
    <col min="12554" max="12554" width="13.42578125" style="50" customWidth="1"/>
    <col min="12555" max="12559" width="11.5703125" style="50"/>
    <col min="12560" max="12560" width="4.5703125" style="50" customWidth="1"/>
    <col min="12561" max="12808" width="11.5703125" style="50"/>
    <col min="12809" max="12809" width="4.42578125" style="50" customWidth="1"/>
    <col min="12810" max="12810" width="13.42578125" style="50" customWidth="1"/>
    <col min="12811" max="12815" width="11.5703125" style="50"/>
    <col min="12816" max="12816" width="4.5703125" style="50" customWidth="1"/>
    <col min="12817" max="13064" width="11.5703125" style="50"/>
    <col min="13065" max="13065" width="4.42578125" style="50" customWidth="1"/>
    <col min="13066" max="13066" width="13.42578125" style="50" customWidth="1"/>
    <col min="13067" max="13071" width="11.5703125" style="50"/>
    <col min="13072" max="13072" width="4.5703125" style="50" customWidth="1"/>
    <col min="13073" max="13320" width="11.5703125" style="50"/>
    <col min="13321" max="13321" width="4.42578125" style="50" customWidth="1"/>
    <col min="13322" max="13322" width="13.42578125" style="50" customWidth="1"/>
    <col min="13323" max="13327" width="11.5703125" style="50"/>
    <col min="13328" max="13328" width="4.5703125" style="50" customWidth="1"/>
    <col min="13329" max="13576" width="11.5703125" style="50"/>
    <col min="13577" max="13577" width="4.42578125" style="50" customWidth="1"/>
    <col min="13578" max="13578" width="13.42578125" style="50" customWidth="1"/>
    <col min="13579" max="13583" width="11.5703125" style="50"/>
    <col min="13584" max="13584" width="4.5703125" style="50" customWidth="1"/>
    <col min="13585" max="13832" width="11.5703125" style="50"/>
    <col min="13833" max="13833" width="4.42578125" style="50" customWidth="1"/>
    <col min="13834" max="13834" width="13.42578125" style="50" customWidth="1"/>
    <col min="13835" max="13839" width="11.5703125" style="50"/>
    <col min="13840" max="13840" width="4.5703125" style="50" customWidth="1"/>
    <col min="13841" max="14088" width="11.5703125" style="50"/>
    <col min="14089" max="14089" width="4.42578125" style="50" customWidth="1"/>
    <col min="14090" max="14090" width="13.42578125" style="50" customWidth="1"/>
    <col min="14091" max="14095" width="11.5703125" style="50"/>
    <col min="14096" max="14096" width="4.5703125" style="50" customWidth="1"/>
    <col min="14097" max="14344" width="11.5703125" style="50"/>
    <col min="14345" max="14345" width="4.42578125" style="50" customWidth="1"/>
    <col min="14346" max="14346" width="13.42578125" style="50" customWidth="1"/>
    <col min="14347" max="14351" width="11.5703125" style="50"/>
    <col min="14352" max="14352" width="4.5703125" style="50" customWidth="1"/>
    <col min="14353" max="14600" width="11.5703125" style="50"/>
    <col min="14601" max="14601" width="4.42578125" style="50" customWidth="1"/>
    <col min="14602" max="14602" width="13.42578125" style="50" customWidth="1"/>
    <col min="14603" max="14607" width="11.5703125" style="50"/>
    <col min="14608" max="14608" width="4.5703125" style="50" customWidth="1"/>
    <col min="14609" max="14856" width="11.5703125" style="50"/>
    <col min="14857" max="14857" width="4.42578125" style="50" customWidth="1"/>
    <col min="14858" max="14858" width="13.42578125" style="50" customWidth="1"/>
    <col min="14859" max="14863" width="11.5703125" style="50"/>
    <col min="14864" max="14864" width="4.5703125" style="50" customWidth="1"/>
    <col min="14865" max="15112" width="11.5703125" style="50"/>
    <col min="15113" max="15113" width="4.42578125" style="50" customWidth="1"/>
    <col min="15114" max="15114" width="13.42578125" style="50" customWidth="1"/>
    <col min="15115" max="15119" width="11.5703125" style="50"/>
    <col min="15120" max="15120" width="4.5703125" style="50" customWidth="1"/>
    <col min="15121" max="15368" width="11.5703125" style="50"/>
    <col min="15369" max="15369" width="4.42578125" style="50" customWidth="1"/>
    <col min="15370" max="15370" width="13.42578125" style="50" customWidth="1"/>
    <col min="15371" max="15375" width="11.5703125" style="50"/>
    <col min="15376" max="15376" width="4.5703125" style="50" customWidth="1"/>
    <col min="15377" max="15624" width="11.5703125" style="50"/>
    <col min="15625" max="15625" width="4.42578125" style="50" customWidth="1"/>
    <col min="15626" max="15626" width="13.42578125" style="50" customWidth="1"/>
    <col min="15627" max="15631" width="11.5703125" style="50"/>
    <col min="15632" max="15632" width="4.5703125" style="50" customWidth="1"/>
    <col min="15633" max="15880" width="11.5703125" style="50"/>
    <col min="15881" max="15881" width="4.42578125" style="50" customWidth="1"/>
    <col min="15882" max="15882" width="13.42578125" style="50" customWidth="1"/>
    <col min="15883" max="15887" width="11.5703125" style="50"/>
    <col min="15888" max="15888" width="4.5703125" style="50" customWidth="1"/>
    <col min="15889" max="16136" width="11.5703125" style="50"/>
    <col min="16137" max="16137" width="4.42578125" style="50" customWidth="1"/>
    <col min="16138" max="16138" width="13.42578125" style="50" customWidth="1"/>
    <col min="16139" max="16143" width="11.5703125" style="50"/>
    <col min="16144" max="16144" width="4.5703125" style="50" customWidth="1"/>
    <col min="16145" max="16384" width="11.5703125" style="50"/>
  </cols>
  <sheetData>
    <row r="1" spans="2:33" hidden="1"/>
    <row r="2" spans="2:33" ht="21" customHeight="1">
      <c r="D2" s="100" t="s">
        <v>126</v>
      </c>
    </row>
    <row r="3" spans="2:33" ht="15" customHeight="1">
      <c r="D3" s="109" t="str">
        <f>Indice!E3</f>
        <v>Junio 2026</v>
      </c>
    </row>
    <row r="4" spans="2:33" ht="20.100000000000001" customHeight="1">
      <c r="B4" s="99" t="s">
        <v>64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39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8"/>
      <c r="P8" s="62"/>
      <c r="Q8" s="139"/>
      <c r="R8" s="140"/>
      <c r="S8" s="140"/>
      <c r="T8" s="140"/>
      <c r="U8" s="140"/>
      <c r="X8" s="140"/>
      <c r="Y8" s="140"/>
      <c r="Z8" s="140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1"/>
      <c r="R9" s="141"/>
      <c r="S9" s="141"/>
      <c r="T9" s="141"/>
      <c r="U9" s="141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1"/>
      <c r="R10" s="141"/>
      <c r="S10" s="141"/>
      <c r="T10" s="141"/>
      <c r="U10" s="141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1"/>
      <c r="R11" s="141"/>
      <c r="S11" s="141"/>
      <c r="T11" s="141"/>
      <c r="U11" s="141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1"/>
      <c r="R12" s="141"/>
      <c r="S12" s="141"/>
      <c r="T12" s="141"/>
      <c r="U12" s="141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1"/>
      <c r="R13" s="141"/>
      <c r="S13" s="141"/>
      <c r="T13" s="141"/>
      <c r="U13" s="141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1"/>
      <c r="R14" s="141"/>
      <c r="S14" s="141"/>
      <c r="T14" s="141"/>
      <c r="U14" s="141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1"/>
      <c r="R15" s="141"/>
      <c r="S15" s="141"/>
      <c r="T15" s="141"/>
      <c r="U15" s="141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1"/>
      <c r="R16" s="141"/>
      <c r="S16" s="141"/>
      <c r="T16" s="141"/>
      <c r="U16" s="141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1"/>
      <c r="R17" s="141"/>
      <c r="S17" s="141"/>
      <c r="T17" s="141"/>
      <c r="U17" s="141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1"/>
      <c r="R18" s="141"/>
      <c r="S18" s="141"/>
      <c r="T18" s="141"/>
      <c r="U18" s="141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1"/>
      <c r="R19" s="141"/>
      <c r="S19" s="141"/>
      <c r="T19" s="141"/>
      <c r="U19" s="141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1"/>
      <c r="R20" s="141"/>
      <c r="S20" s="141"/>
      <c r="T20" s="141"/>
      <c r="U20" s="141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1"/>
      <c r="R21" s="141"/>
      <c r="S21" s="141"/>
      <c r="T21" s="141"/>
      <c r="U21" s="141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1"/>
      <c r="R22" s="141"/>
      <c r="S22" s="141"/>
      <c r="T22" s="141"/>
      <c r="U22" s="141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1"/>
      <c r="R23" s="141"/>
      <c r="S23" s="141"/>
      <c r="T23" s="141"/>
      <c r="U23" s="141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1"/>
      <c r="R24" s="141"/>
      <c r="S24" s="141"/>
      <c r="T24" s="141"/>
      <c r="U24" s="141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1"/>
      <c r="R25" s="141"/>
      <c r="S25" s="141"/>
      <c r="T25" s="141"/>
      <c r="U25" s="141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1"/>
      <c r="R26" s="141"/>
      <c r="S26" s="141"/>
      <c r="T26" s="141"/>
      <c r="U26" s="141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1"/>
      <c r="R27" s="141"/>
      <c r="S27" s="141"/>
      <c r="T27" s="141"/>
      <c r="U27" s="141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1"/>
      <c r="R28" s="141"/>
      <c r="S28" s="141"/>
      <c r="T28" s="141"/>
      <c r="U28" s="141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1"/>
      <c r="R29" s="141"/>
      <c r="S29" s="141"/>
      <c r="T29" s="141"/>
      <c r="U29" s="141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1"/>
      <c r="R30" s="141"/>
      <c r="S30" s="141"/>
      <c r="T30" s="141"/>
      <c r="U30" s="141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1"/>
      <c r="R31" s="141"/>
      <c r="S31" s="141"/>
      <c r="T31" s="141"/>
      <c r="U31" s="141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1"/>
      <c r="R32" s="141"/>
      <c r="S32" s="141"/>
      <c r="T32" s="141"/>
      <c r="U32" s="141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1"/>
      <c r="R33" s="141"/>
      <c r="S33" s="141"/>
      <c r="T33" s="141"/>
      <c r="U33" s="141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1"/>
      <c r="R34" s="141"/>
      <c r="S34" s="141"/>
      <c r="T34" s="141"/>
      <c r="U34" s="141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1"/>
      <c r="R35" s="141"/>
      <c r="S35" s="141"/>
      <c r="T35" s="141"/>
      <c r="U35" s="141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1"/>
      <c r="R36" s="141"/>
      <c r="S36" s="141"/>
      <c r="T36" s="141"/>
      <c r="U36" s="141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1"/>
      <c r="R37" s="141"/>
      <c r="S37" s="141"/>
      <c r="T37" s="141"/>
      <c r="U37" s="141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1"/>
      <c r="R38" s="141"/>
      <c r="S38" s="141"/>
      <c r="T38" s="141"/>
      <c r="U38" s="141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1"/>
      <c r="R39" s="141"/>
      <c r="S39" s="141"/>
      <c r="T39" s="141"/>
      <c r="U39" s="141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1"/>
      <c r="R40" s="141"/>
      <c r="S40" s="141"/>
      <c r="T40" s="141"/>
      <c r="U40" s="141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1"/>
      <c r="R41" s="141"/>
      <c r="S41" s="141"/>
      <c r="T41" s="141"/>
      <c r="U41" s="141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1"/>
      <c r="R42" s="141"/>
      <c r="S42" s="141"/>
      <c r="T42" s="141"/>
      <c r="U42" s="141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1"/>
      <c r="R43" s="141"/>
      <c r="S43" s="141"/>
      <c r="T43" s="141"/>
      <c r="U43" s="141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1"/>
      <c r="R44" s="141"/>
      <c r="S44" s="141"/>
      <c r="T44" s="141"/>
      <c r="U44" s="141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1"/>
      <c r="R45" s="141"/>
      <c r="S45" s="141"/>
      <c r="T45" s="141"/>
      <c r="U45" s="141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1"/>
      <c r="R46" s="141"/>
      <c r="S46" s="141"/>
      <c r="T46" s="141"/>
      <c r="U46" s="141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1"/>
      <c r="R47" s="141"/>
      <c r="S47" s="141"/>
      <c r="T47" s="141"/>
      <c r="U47" s="141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1"/>
      <c r="R48" s="141"/>
      <c r="S48" s="141"/>
      <c r="T48" s="141"/>
      <c r="U48" s="141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1"/>
      <c r="R49" s="141"/>
      <c r="S49" s="141"/>
      <c r="T49" s="141"/>
      <c r="U49" s="141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1"/>
      <c r="R50" s="141"/>
      <c r="S50" s="141"/>
      <c r="T50" s="141"/>
      <c r="U50" s="141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1"/>
      <c r="R51" s="141"/>
      <c r="S51" s="141"/>
      <c r="T51" s="141"/>
      <c r="U51" s="141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1"/>
      <c r="R52" s="141"/>
      <c r="S52" s="141"/>
      <c r="T52" s="141"/>
      <c r="U52" s="141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1"/>
      <c r="R53" s="141"/>
      <c r="S53" s="141"/>
      <c r="T53" s="141"/>
      <c r="U53" s="141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1"/>
      <c r="R54" s="141"/>
      <c r="S54" s="141"/>
      <c r="T54" s="141"/>
      <c r="U54" s="141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1"/>
      <c r="R55" s="141"/>
      <c r="S55" s="141"/>
      <c r="T55" s="141"/>
      <c r="U55" s="141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1"/>
      <c r="R56" s="141"/>
      <c r="S56" s="141"/>
      <c r="T56" s="141"/>
      <c r="U56" s="141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1"/>
      <c r="R57" s="141"/>
      <c r="S57" s="141"/>
      <c r="T57" s="141"/>
      <c r="U57" s="141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1"/>
      <c r="R58" s="141"/>
      <c r="S58" s="141"/>
      <c r="T58" s="141"/>
      <c r="U58" s="141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1"/>
      <c r="R59" s="141"/>
      <c r="S59" s="141"/>
      <c r="T59" s="141"/>
      <c r="U59" s="141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1"/>
      <c r="R60" s="141"/>
      <c r="S60" s="141"/>
      <c r="T60" s="141"/>
      <c r="U60" s="141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1"/>
      <c r="R61" s="141"/>
      <c r="S61" s="141"/>
      <c r="T61" s="141"/>
      <c r="U61" s="141"/>
      <c r="V61" s="58"/>
      <c r="X61" s="54"/>
      <c r="Y61" s="54"/>
      <c r="Z61" s="54"/>
    </row>
    <row r="62" spans="5:33">
      <c r="E62" s="64"/>
      <c r="N62" s="67"/>
      <c r="O62" s="59"/>
      <c r="P62" s="63"/>
      <c r="Q62" s="141"/>
      <c r="R62" s="141"/>
      <c r="S62" s="141"/>
      <c r="T62" s="141"/>
      <c r="U62" s="141"/>
      <c r="V62" s="58"/>
      <c r="X62" s="54"/>
      <c r="Y62" s="54"/>
      <c r="Z62" s="54"/>
    </row>
    <row r="63" spans="5:33">
      <c r="E63" s="64"/>
      <c r="N63" s="67"/>
      <c r="O63" s="59"/>
      <c r="P63" s="63"/>
      <c r="Q63" s="141"/>
      <c r="R63" s="141"/>
      <c r="S63" s="141"/>
      <c r="T63" s="141"/>
      <c r="U63" s="141"/>
      <c r="V63" s="58"/>
      <c r="X63" s="54"/>
      <c r="Y63" s="54"/>
      <c r="Z63" s="54"/>
    </row>
    <row r="64" spans="5:33">
      <c r="E64" s="64"/>
      <c r="N64" s="67">
        <f>'Data 3'!I60-'Data 3'!I59</f>
        <v>0</v>
      </c>
      <c r="O64" s="61">
        <f>'Data 3'!I60-'Data 3'!I48</f>
        <v>-62.532424621701466</v>
      </c>
      <c r="P64" s="63"/>
      <c r="Q64" s="141"/>
      <c r="R64" s="141"/>
      <c r="S64" s="141"/>
      <c r="T64" s="141"/>
      <c r="U64" s="141"/>
      <c r="V64" s="58"/>
      <c r="X64" s="54"/>
      <c r="Y64" s="54"/>
      <c r="Z64" s="54"/>
    </row>
    <row r="65" spans="5:26">
      <c r="E65" s="64"/>
      <c r="N65" s="67"/>
      <c r="O65" s="59"/>
      <c r="P65" s="63"/>
      <c r="Q65" s="141"/>
      <c r="R65" s="141"/>
      <c r="S65" s="141"/>
      <c r="T65" s="141"/>
      <c r="U65" s="141"/>
      <c r="V65" s="58"/>
      <c r="X65" s="54"/>
      <c r="Y65" s="54"/>
      <c r="Z65" s="54"/>
    </row>
    <row r="66" spans="5:26">
      <c r="E66" s="64"/>
      <c r="N66" s="67"/>
      <c r="O66" s="59"/>
      <c r="P66" s="63"/>
      <c r="Q66" s="141"/>
      <c r="R66" s="141"/>
      <c r="S66" s="141"/>
      <c r="T66" s="141"/>
      <c r="U66" s="141"/>
      <c r="V66" s="58"/>
      <c r="X66" s="54"/>
      <c r="Y66" s="54"/>
      <c r="Z66" s="54"/>
    </row>
    <row r="67" spans="5:26">
      <c r="E67" s="64"/>
      <c r="N67" s="67"/>
      <c r="O67" s="59"/>
      <c r="P67" s="63"/>
      <c r="Q67" s="141"/>
      <c r="R67" s="141"/>
      <c r="S67" s="141"/>
      <c r="T67" s="141"/>
      <c r="U67" s="141"/>
      <c r="V67" s="58"/>
      <c r="X67" s="54"/>
      <c r="Y67" s="54"/>
      <c r="Z67" s="54"/>
    </row>
    <row r="68" spans="5:26">
      <c r="E68" s="64"/>
      <c r="N68" s="67"/>
      <c r="O68" s="59"/>
      <c r="P68" s="63"/>
      <c r="Q68" s="141"/>
      <c r="R68" s="141"/>
      <c r="S68" s="141"/>
      <c r="T68" s="141"/>
      <c r="U68" s="141"/>
      <c r="V68" s="58"/>
      <c r="X68" s="54"/>
      <c r="Y68" s="54"/>
      <c r="Z68" s="54"/>
    </row>
    <row r="69" spans="5:26">
      <c r="N69" s="68"/>
      <c r="O69" s="59"/>
      <c r="P69" s="63"/>
      <c r="Q69" s="141"/>
      <c r="R69" s="141"/>
      <c r="S69" s="141"/>
      <c r="T69" s="141"/>
      <c r="U69" s="141"/>
      <c r="V69" s="58"/>
      <c r="X69" s="54"/>
      <c r="Y69" s="54"/>
      <c r="Z69" s="54"/>
    </row>
    <row r="70" spans="5:26">
      <c r="O70" s="59"/>
      <c r="P70" s="63"/>
      <c r="Q70" s="141"/>
      <c r="R70" s="141"/>
      <c r="S70" s="141"/>
      <c r="T70" s="141"/>
      <c r="U70" s="141"/>
      <c r="V70" s="58"/>
      <c r="X70" s="54"/>
      <c r="Y70" s="54"/>
      <c r="Z70" s="54"/>
    </row>
    <row r="71" spans="5:26">
      <c r="O71" s="59"/>
      <c r="P71" s="63"/>
      <c r="Q71" s="141"/>
      <c r="R71" s="141"/>
      <c r="S71" s="141"/>
      <c r="T71" s="141"/>
      <c r="U71" s="141"/>
      <c r="V71" s="58"/>
      <c r="X71" s="54"/>
      <c r="Y71" s="54"/>
      <c r="Z71" s="54"/>
    </row>
    <row r="72" spans="5:26">
      <c r="O72" s="59"/>
      <c r="P72" s="63"/>
      <c r="Q72" s="141"/>
      <c r="R72" s="141"/>
      <c r="S72" s="141"/>
      <c r="T72" s="141"/>
      <c r="U72" s="141"/>
      <c r="V72" s="58"/>
      <c r="X72" s="54"/>
      <c r="Y72" s="54"/>
      <c r="Z72" s="54"/>
    </row>
    <row r="73" spans="5:26">
      <c r="O73" s="59"/>
      <c r="P73" s="63"/>
      <c r="Q73" s="141"/>
      <c r="R73" s="141"/>
      <c r="S73" s="141"/>
      <c r="T73" s="141"/>
      <c r="U73" s="141"/>
      <c r="V73" s="58"/>
      <c r="X73" s="54"/>
      <c r="Y73" s="54"/>
      <c r="Z73" s="54"/>
    </row>
    <row r="74" spans="5:26">
      <c r="O74" s="59"/>
      <c r="P74" s="63"/>
      <c r="Q74" s="141"/>
      <c r="R74" s="141"/>
      <c r="S74" s="141"/>
      <c r="T74" s="141"/>
      <c r="U74" s="141"/>
      <c r="V74" s="58"/>
      <c r="X74" s="54"/>
      <c r="Y74" s="54"/>
      <c r="Z74" s="54"/>
    </row>
    <row r="75" spans="5:26">
      <c r="O75" s="59"/>
      <c r="P75" s="63"/>
      <c r="Q75" s="141"/>
      <c r="R75" s="141"/>
      <c r="S75" s="141"/>
      <c r="T75" s="141"/>
      <c r="U75" s="141"/>
      <c r="V75" s="58"/>
      <c r="X75" s="54"/>
      <c r="Y75" s="54"/>
      <c r="Z75" s="54"/>
    </row>
    <row r="76" spans="5:26">
      <c r="O76" s="59"/>
      <c r="P76" s="63"/>
      <c r="Q76" s="141"/>
      <c r="R76" s="141"/>
      <c r="S76" s="141"/>
      <c r="T76" s="141"/>
      <c r="U76" s="141"/>
      <c r="V76" s="58"/>
      <c r="X76" s="54"/>
      <c r="Y76" s="54"/>
      <c r="Z76" s="54"/>
    </row>
    <row r="77" spans="5:26">
      <c r="O77" s="59"/>
      <c r="P77" s="63"/>
      <c r="Q77" s="141"/>
      <c r="R77" s="141"/>
      <c r="S77" s="141"/>
      <c r="T77" s="141"/>
      <c r="U77" s="141"/>
      <c r="V77" s="58"/>
      <c r="X77" s="54"/>
      <c r="Y77" s="54"/>
      <c r="Z77" s="54"/>
    </row>
    <row r="78" spans="5:26">
      <c r="O78" s="59"/>
      <c r="P78" s="63"/>
      <c r="Q78" s="141"/>
      <c r="R78" s="141"/>
      <c r="S78" s="141"/>
      <c r="T78" s="141"/>
      <c r="U78" s="141"/>
      <c r="V78" s="58"/>
      <c r="X78" s="54"/>
      <c r="Y78" s="54"/>
      <c r="Z78" s="54"/>
    </row>
    <row r="79" spans="5:26">
      <c r="O79" s="59"/>
      <c r="P79" s="63"/>
      <c r="Q79" s="141"/>
      <c r="R79" s="141"/>
      <c r="S79" s="141"/>
      <c r="T79" s="141"/>
      <c r="U79" s="141"/>
      <c r="V79" s="58"/>
      <c r="X79" s="54"/>
      <c r="Y79" s="54"/>
      <c r="Z79" s="54"/>
    </row>
    <row r="80" spans="5:26">
      <c r="O80" s="59"/>
      <c r="P80" s="63"/>
      <c r="Q80" s="141"/>
      <c r="R80" s="141"/>
      <c r="S80" s="141"/>
      <c r="T80" s="141"/>
      <c r="U80" s="141"/>
      <c r="V80" s="58"/>
      <c r="X80" s="54"/>
      <c r="Y80" s="54"/>
      <c r="Z80" s="54"/>
    </row>
    <row r="81" spans="15:26">
      <c r="O81" s="59"/>
      <c r="P81" s="63"/>
      <c r="Q81" s="141"/>
      <c r="R81" s="141"/>
      <c r="S81" s="141"/>
      <c r="T81" s="141"/>
      <c r="U81" s="141"/>
      <c r="V81" s="58"/>
      <c r="X81" s="54"/>
      <c r="Y81" s="54"/>
      <c r="Z81" s="54"/>
    </row>
    <row r="82" spans="15:26">
      <c r="O82" s="59"/>
      <c r="P82" s="63"/>
      <c r="Q82" s="141"/>
      <c r="R82" s="141"/>
      <c r="S82" s="141"/>
      <c r="T82" s="141"/>
      <c r="U82" s="141"/>
      <c r="V82" s="58"/>
      <c r="X82" s="54"/>
      <c r="Y82" s="54"/>
      <c r="Z82" s="54"/>
    </row>
    <row r="83" spans="15:26">
      <c r="O83" s="59"/>
      <c r="P83" s="63"/>
      <c r="Q83" s="141"/>
      <c r="R83" s="141"/>
      <c r="S83" s="141"/>
      <c r="T83" s="141"/>
      <c r="U83" s="141"/>
      <c r="V83" s="58"/>
      <c r="X83" s="54"/>
      <c r="Y83" s="54"/>
      <c r="Z83" s="54"/>
    </row>
    <row r="84" spans="15:26">
      <c r="O84" s="60"/>
      <c r="P84" s="63"/>
      <c r="Q84" s="141"/>
      <c r="R84" s="141"/>
      <c r="S84" s="141"/>
      <c r="T84" s="141"/>
      <c r="U84" s="141"/>
      <c r="V84" s="58"/>
      <c r="X84" s="54"/>
      <c r="Y84" s="54"/>
      <c r="Z84" s="54"/>
    </row>
    <row r="85" spans="15:26">
      <c r="O85" s="60">
        <v>42248</v>
      </c>
      <c r="P85" s="63"/>
      <c r="Q85" s="141"/>
      <c r="R85" s="141"/>
      <c r="S85" s="141"/>
      <c r="T85" s="141"/>
      <c r="U85" s="141"/>
      <c r="V85" s="58"/>
      <c r="X85" s="54"/>
      <c r="Y85" s="54"/>
      <c r="Z85" s="54"/>
    </row>
    <row r="86" spans="15:26">
      <c r="O86" s="59"/>
      <c r="P86" s="63"/>
      <c r="Q86" s="141"/>
      <c r="R86" s="141"/>
      <c r="S86" s="141"/>
      <c r="T86" s="141"/>
      <c r="U86" s="141"/>
      <c r="V86" s="58"/>
      <c r="X86" s="54"/>
      <c r="Y86" s="54"/>
      <c r="Z86" s="54"/>
    </row>
    <row r="87" spans="15:26">
      <c r="O87" s="59"/>
      <c r="P87" s="63"/>
      <c r="Q87" s="141"/>
      <c r="R87" s="141"/>
      <c r="S87" s="141"/>
      <c r="T87" s="141"/>
      <c r="U87" s="141"/>
      <c r="V87" s="58"/>
      <c r="X87" s="54"/>
      <c r="Y87" s="54"/>
      <c r="Z87" s="54"/>
    </row>
    <row r="88" spans="15:26">
      <c r="O88" s="59"/>
      <c r="P88" s="63"/>
      <c r="Q88" s="141"/>
      <c r="R88" s="141"/>
      <c r="S88" s="141"/>
      <c r="T88" s="141"/>
      <c r="U88" s="141"/>
      <c r="V88" s="58"/>
      <c r="X88" s="54"/>
      <c r="Y88" s="54"/>
      <c r="Z88" s="54"/>
    </row>
    <row r="89" spans="15:26">
      <c r="O89" s="59"/>
      <c r="P89" s="63"/>
      <c r="Q89" s="141"/>
      <c r="R89" s="141"/>
      <c r="S89" s="141"/>
      <c r="T89" s="141"/>
      <c r="U89" s="141"/>
      <c r="V89" s="58"/>
      <c r="X89" s="54"/>
      <c r="Y89" s="54"/>
      <c r="Z89" s="54"/>
    </row>
    <row r="90" spans="15:26">
      <c r="O90" s="59"/>
      <c r="P90" s="63"/>
      <c r="Q90" s="141"/>
      <c r="R90" s="141"/>
      <c r="S90" s="141"/>
      <c r="T90" s="141"/>
      <c r="U90" s="141"/>
      <c r="V90" s="58"/>
      <c r="X90" s="54"/>
      <c r="Y90" s="54"/>
      <c r="Z90" s="54"/>
    </row>
    <row r="91" spans="15:26">
      <c r="O91" s="59"/>
      <c r="P91" s="63"/>
      <c r="Q91" s="141"/>
      <c r="R91" s="141"/>
      <c r="S91" s="141"/>
      <c r="T91" s="141"/>
      <c r="U91" s="141"/>
      <c r="V91" s="58"/>
      <c r="X91" s="54"/>
      <c r="Y91" s="54"/>
      <c r="Z91" s="54"/>
    </row>
    <row r="92" spans="15:26">
      <c r="O92" s="59"/>
      <c r="P92" s="63"/>
      <c r="Q92" s="141"/>
      <c r="R92" s="141"/>
      <c r="S92" s="141"/>
      <c r="T92" s="141"/>
      <c r="U92" s="141"/>
      <c r="V92" s="58"/>
      <c r="X92" s="54"/>
      <c r="Y92" s="54"/>
      <c r="Z92" s="54"/>
    </row>
    <row r="93" spans="15:26">
      <c r="O93" s="59"/>
      <c r="P93" s="63"/>
      <c r="Q93" s="141"/>
      <c r="R93" s="141"/>
      <c r="S93" s="141"/>
      <c r="T93" s="141"/>
      <c r="U93" s="141"/>
      <c r="V93" s="58"/>
      <c r="X93" s="54"/>
      <c r="Y93" s="54"/>
      <c r="Z93" s="54"/>
    </row>
    <row r="94" spans="15:26">
      <c r="O94" s="59"/>
      <c r="P94" s="63"/>
      <c r="Q94" s="141"/>
      <c r="R94" s="141"/>
      <c r="S94" s="141"/>
      <c r="T94" s="141"/>
      <c r="U94" s="141"/>
      <c r="V94" s="58"/>
      <c r="X94" s="54"/>
      <c r="Y94" s="54"/>
      <c r="Z94" s="54"/>
    </row>
    <row r="95" spans="15:26">
      <c r="O95" s="59"/>
      <c r="P95" s="63"/>
      <c r="Q95" s="141"/>
      <c r="R95" s="141"/>
      <c r="S95" s="141"/>
      <c r="T95" s="141"/>
      <c r="U95" s="141"/>
      <c r="V95" s="58"/>
      <c r="X95" s="54"/>
      <c r="Y95" s="54"/>
      <c r="Z95" s="54"/>
    </row>
    <row r="96" spans="15:26">
      <c r="O96" s="59"/>
      <c r="P96" s="63"/>
      <c r="Q96" s="141"/>
      <c r="R96" s="141"/>
      <c r="S96" s="141"/>
      <c r="T96" s="141"/>
      <c r="U96" s="141"/>
      <c r="V96" s="58"/>
      <c r="X96" s="54"/>
      <c r="Y96" s="54"/>
      <c r="Z96" s="54"/>
    </row>
    <row r="97" spans="15:26">
      <c r="O97" s="59"/>
      <c r="P97" s="63"/>
      <c r="Q97" s="141"/>
      <c r="R97" s="141"/>
      <c r="S97" s="141"/>
      <c r="T97" s="141"/>
      <c r="U97" s="141"/>
      <c r="V97" s="58"/>
      <c r="X97" s="54"/>
      <c r="Y97" s="54"/>
      <c r="Z97" s="54"/>
    </row>
    <row r="98" spans="15:26">
      <c r="O98" s="59"/>
      <c r="P98" s="63"/>
      <c r="Q98" s="141"/>
      <c r="R98" s="141"/>
      <c r="S98" s="141"/>
      <c r="T98" s="141"/>
      <c r="U98" s="141"/>
      <c r="V98" s="58"/>
      <c r="X98" s="54"/>
      <c r="Y98" s="54"/>
      <c r="Z98" s="54"/>
    </row>
    <row r="99" spans="15:26">
      <c r="O99" s="59"/>
      <c r="P99" s="63"/>
      <c r="Q99" s="141"/>
      <c r="R99" s="141"/>
      <c r="S99" s="141"/>
      <c r="T99" s="141"/>
      <c r="U99" s="141"/>
      <c r="V99" s="58"/>
      <c r="X99" s="54"/>
      <c r="Y99" s="54"/>
      <c r="Z99" s="54"/>
    </row>
    <row r="100" spans="15:26">
      <c r="O100" s="59"/>
      <c r="P100" s="63"/>
      <c r="Q100" s="141"/>
      <c r="R100" s="141"/>
      <c r="S100" s="141"/>
      <c r="T100" s="141"/>
      <c r="U100" s="141"/>
      <c r="V100" s="58"/>
      <c r="X100" s="54"/>
      <c r="Y100" s="54"/>
      <c r="Z100" s="54"/>
    </row>
    <row r="101" spans="15:26">
      <c r="O101" s="59"/>
      <c r="P101" s="63"/>
      <c r="Q101" s="141"/>
      <c r="R101" s="141"/>
      <c r="S101" s="141"/>
      <c r="T101" s="141"/>
      <c r="U101" s="141"/>
      <c r="V101" s="58"/>
      <c r="X101" s="54"/>
      <c r="Y101" s="54"/>
      <c r="Z101" s="54"/>
    </row>
    <row r="102" spans="15:26">
      <c r="O102" s="59"/>
      <c r="P102" s="63"/>
      <c r="Q102" s="141"/>
      <c r="R102" s="141"/>
      <c r="S102" s="141"/>
      <c r="T102" s="141"/>
      <c r="U102" s="141"/>
      <c r="V102" s="58"/>
      <c r="X102" s="54"/>
      <c r="Y102" s="54"/>
      <c r="Z102" s="54"/>
    </row>
    <row r="103" spans="15:26">
      <c r="O103" s="59"/>
      <c r="P103" s="63"/>
      <c r="Q103" s="141"/>
      <c r="R103" s="141"/>
      <c r="S103" s="141"/>
      <c r="T103" s="141"/>
      <c r="U103" s="141"/>
      <c r="V103" s="58"/>
      <c r="X103" s="54"/>
      <c r="Y103" s="54"/>
      <c r="Z103" s="54"/>
    </row>
    <row r="104" spans="15:26">
      <c r="O104" s="59"/>
      <c r="P104" s="63"/>
      <c r="Q104" s="141"/>
      <c r="R104" s="141"/>
      <c r="S104" s="141"/>
      <c r="T104" s="141"/>
      <c r="U104" s="141"/>
      <c r="V104" s="58"/>
      <c r="X104" s="54"/>
      <c r="Y104" s="54"/>
      <c r="Z104" s="54"/>
    </row>
    <row r="105" spans="15:26">
      <c r="O105" s="59"/>
      <c r="P105" s="63"/>
      <c r="Q105" s="141"/>
      <c r="R105" s="141"/>
      <c r="S105" s="141"/>
      <c r="T105" s="141"/>
      <c r="U105" s="141"/>
      <c r="V105" s="58"/>
      <c r="X105" s="54"/>
      <c r="Y105" s="54"/>
      <c r="Z105" s="54"/>
    </row>
    <row r="106" spans="15:26">
      <c r="O106" s="59"/>
      <c r="P106" s="63"/>
      <c r="Q106" s="141"/>
      <c r="R106" s="141"/>
      <c r="S106" s="141"/>
      <c r="T106" s="141"/>
      <c r="U106" s="141"/>
      <c r="V106" s="58"/>
      <c r="X106" s="54"/>
      <c r="Y106" s="54"/>
      <c r="Z106" s="54"/>
    </row>
    <row r="107" spans="15:26">
      <c r="O107" s="59"/>
      <c r="P107" s="63"/>
      <c r="Q107" s="141"/>
      <c r="R107" s="141"/>
      <c r="S107" s="141"/>
      <c r="T107" s="141"/>
      <c r="U107" s="141"/>
      <c r="V107" s="58"/>
      <c r="X107" s="54"/>
      <c r="Y107" s="54"/>
      <c r="Z107" s="54"/>
    </row>
    <row r="108" spans="15:26">
      <c r="O108" s="59"/>
      <c r="P108" s="63"/>
      <c r="Q108" s="141"/>
      <c r="R108" s="141"/>
      <c r="S108" s="141"/>
      <c r="T108" s="141"/>
      <c r="U108" s="141"/>
      <c r="V108" s="58"/>
      <c r="X108" s="54"/>
      <c r="Y108" s="54"/>
      <c r="Z108" s="54"/>
    </row>
    <row r="109" spans="15:26">
      <c r="O109" s="59"/>
      <c r="P109" s="63"/>
      <c r="Q109" s="141"/>
      <c r="R109" s="141"/>
      <c r="S109" s="141"/>
      <c r="T109" s="141"/>
      <c r="U109" s="141"/>
      <c r="V109" s="58"/>
      <c r="X109" s="54"/>
      <c r="Y109" s="54"/>
      <c r="Z109" s="54"/>
    </row>
    <row r="110" spans="15:26">
      <c r="O110" s="59"/>
      <c r="P110" s="63"/>
      <c r="Q110" s="141"/>
      <c r="R110" s="141"/>
      <c r="S110" s="141"/>
      <c r="T110" s="141"/>
      <c r="U110" s="141"/>
      <c r="V110" s="58"/>
      <c r="X110" s="54"/>
      <c r="Y110" s="54"/>
      <c r="Z110" s="54"/>
    </row>
    <row r="111" spans="15:26">
      <c r="O111" s="59"/>
      <c r="P111" s="63"/>
      <c r="Q111" s="141"/>
      <c r="R111" s="141"/>
      <c r="S111" s="141"/>
      <c r="T111" s="141"/>
      <c r="U111" s="141"/>
      <c r="V111" s="58"/>
      <c r="X111" s="54"/>
      <c r="Y111" s="54"/>
      <c r="Z111" s="54"/>
    </row>
    <row r="112" spans="15:26">
      <c r="O112" s="59"/>
      <c r="P112" s="63"/>
      <c r="Q112" s="141"/>
      <c r="R112" s="141"/>
      <c r="S112" s="141"/>
      <c r="T112" s="141"/>
      <c r="U112" s="141"/>
      <c r="V112" s="58"/>
      <c r="X112" s="54"/>
      <c r="Y112" s="54"/>
      <c r="Z112" s="54"/>
    </row>
    <row r="113" spans="15:26">
      <c r="O113" s="59"/>
      <c r="P113" s="63"/>
      <c r="Q113" s="141"/>
      <c r="R113" s="141"/>
      <c r="S113" s="141"/>
      <c r="T113" s="141"/>
      <c r="U113" s="141"/>
      <c r="V113" s="58"/>
      <c r="X113" s="54"/>
      <c r="Y113" s="54"/>
      <c r="Z113" s="54"/>
    </row>
    <row r="114" spans="15:26">
      <c r="O114" s="59"/>
      <c r="P114" s="63"/>
      <c r="Q114" s="141"/>
      <c r="R114" s="141"/>
      <c r="S114" s="141"/>
      <c r="T114" s="141"/>
      <c r="U114" s="141"/>
      <c r="V114" s="58"/>
      <c r="X114" s="54"/>
      <c r="Y114" s="54"/>
      <c r="Z114" s="54"/>
    </row>
    <row r="115" spans="15:26">
      <c r="O115" s="60">
        <v>42278</v>
      </c>
      <c r="P115" s="63"/>
      <c r="Q115" s="141"/>
      <c r="R115" s="141"/>
      <c r="S115" s="141"/>
      <c r="T115" s="141"/>
      <c r="U115" s="141"/>
      <c r="V115" s="58"/>
      <c r="X115" s="54"/>
      <c r="Y115" s="54"/>
      <c r="Z115" s="54"/>
    </row>
    <row r="116" spans="15:26">
      <c r="O116" s="60"/>
      <c r="P116" s="63"/>
      <c r="Q116" s="141"/>
      <c r="R116" s="141"/>
      <c r="S116" s="141"/>
      <c r="T116" s="141"/>
      <c r="U116" s="141"/>
      <c r="V116" s="58"/>
      <c r="X116" s="54"/>
      <c r="Y116" s="54"/>
      <c r="Z116" s="54"/>
    </row>
    <row r="117" spans="15:26">
      <c r="O117" s="59"/>
      <c r="P117" s="63"/>
      <c r="Q117" s="141"/>
      <c r="R117" s="141"/>
      <c r="S117" s="141"/>
      <c r="T117" s="141"/>
      <c r="U117" s="141"/>
      <c r="V117" s="58"/>
      <c r="X117" s="54"/>
      <c r="Y117" s="54"/>
      <c r="Z117" s="54"/>
    </row>
    <row r="118" spans="15:26">
      <c r="O118" s="59"/>
      <c r="P118" s="63"/>
      <c r="Q118" s="141"/>
      <c r="R118" s="141"/>
      <c r="S118" s="141"/>
      <c r="T118" s="141"/>
      <c r="U118" s="141"/>
      <c r="V118" s="58"/>
      <c r="X118" s="54"/>
      <c r="Y118" s="54"/>
      <c r="Z118" s="54"/>
    </row>
    <row r="119" spans="15:26">
      <c r="O119" s="59"/>
      <c r="P119" s="63"/>
      <c r="Q119" s="141"/>
      <c r="R119" s="141"/>
      <c r="S119" s="141"/>
      <c r="T119" s="141"/>
      <c r="U119" s="141"/>
      <c r="V119" s="58"/>
      <c r="X119" s="54"/>
      <c r="Y119" s="54"/>
      <c r="Z119" s="54"/>
    </row>
    <row r="120" spans="15:26">
      <c r="O120" s="59"/>
      <c r="P120" s="63"/>
      <c r="Q120" s="141"/>
      <c r="R120" s="141"/>
      <c r="S120" s="141"/>
      <c r="T120" s="141"/>
      <c r="U120" s="141"/>
      <c r="V120" s="58"/>
      <c r="X120" s="54"/>
      <c r="Y120" s="54"/>
      <c r="Z120" s="54"/>
    </row>
    <row r="121" spans="15:26">
      <c r="O121" s="59"/>
      <c r="P121" s="63"/>
      <c r="Q121" s="141"/>
      <c r="R121" s="141"/>
      <c r="S121" s="141"/>
      <c r="T121" s="141"/>
      <c r="U121" s="141"/>
      <c r="V121" s="58"/>
      <c r="X121" s="54"/>
      <c r="Y121" s="54"/>
      <c r="Z121" s="54"/>
    </row>
    <row r="122" spans="15:26">
      <c r="O122" s="59"/>
      <c r="P122" s="63"/>
      <c r="Q122" s="141"/>
      <c r="R122" s="141"/>
      <c r="S122" s="141"/>
      <c r="T122" s="141"/>
      <c r="U122" s="141"/>
      <c r="V122" s="58"/>
      <c r="X122" s="54"/>
      <c r="Y122" s="54"/>
      <c r="Z122" s="54"/>
    </row>
    <row r="123" spans="15:26">
      <c r="O123" s="59"/>
      <c r="P123" s="63"/>
      <c r="Q123" s="141"/>
      <c r="R123" s="141"/>
      <c r="S123" s="141"/>
      <c r="T123" s="141"/>
      <c r="U123" s="141"/>
      <c r="V123" s="58"/>
      <c r="X123" s="54"/>
      <c r="Y123" s="54"/>
      <c r="Z123" s="54"/>
    </row>
    <row r="124" spans="15:26">
      <c r="O124" s="59"/>
      <c r="P124" s="63"/>
      <c r="Q124" s="141"/>
      <c r="R124" s="141"/>
      <c r="S124" s="141"/>
      <c r="T124" s="141"/>
      <c r="U124" s="141"/>
      <c r="V124" s="58"/>
      <c r="X124" s="54"/>
      <c r="Y124" s="54"/>
      <c r="Z124" s="54"/>
    </row>
    <row r="125" spans="15:26">
      <c r="O125" s="59"/>
      <c r="P125" s="63"/>
      <c r="Q125" s="141"/>
      <c r="R125" s="141"/>
      <c r="S125" s="141"/>
      <c r="T125" s="141"/>
      <c r="U125" s="141"/>
      <c r="V125" s="58"/>
      <c r="X125" s="54"/>
      <c r="Y125" s="54"/>
      <c r="Z125" s="54"/>
    </row>
    <row r="126" spans="15:26">
      <c r="O126" s="59"/>
      <c r="P126" s="63"/>
      <c r="Q126" s="141"/>
      <c r="R126" s="141"/>
      <c r="S126" s="141"/>
      <c r="T126" s="141"/>
      <c r="U126" s="141"/>
      <c r="V126" s="58"/>
      <c r="X126" s="54"/>
      <c r="Y126" s="54"/>
      <c r="Z126" s="54"/>
    </row>
    <row r="127" spans="15:26">
      <c r="O127" s="59"/>
      <c r="P127" s="63"/>
      <c r="Q127" s="141"/>
      <c r="R127" s="141"/>
      <c r="S127" s="141"/>
      <c r="T127" s="141"/>
      <c r="U127" s="141"/>
      <c r="V127" s="58"/>
      <c r="X127" s="54"/>
      <c r="Y127" s="54"/>
      <c r="Z127" s="54"/>
    </row>
    <row r="128" spans="15:26">
      <c r="O128" s="59"/>
      <c r="P128" s="63"/>
      <c r="Q128" s="141"/>
      <c r="R128" s="141"/>
      <c r="S128" s="141"/>
      <c r="T128" s="141"/>
      <c r="U128" s="141"/>
      <c r="V128" s="58"/>
      <c r="X128" s="54"/>
      <c r="Y128" s="54"/>
      <c r="Z128" s="54"/>
    </row>
    <row r="129" spans="15:26">
      <c r="O129" s="59"/>
      <c r="P129" s="63"/>
      <c r="Q129" s="141"/>
      <c r="R129" s="141"/>
      <c r="S129" s="141"/>
      <c r="T129" s="141"/>
      <c r="U129" s="141"/>
      <c r="V129" s="58"/>
      <c r="X129" s="54"/>
      <c r="Y129" s="54"/>
      <c r="Z129" s="54"/>
    </row>
    <row r="130" spans="15:26">
      <c r="O130" s="59"/>
      <c r="P130" s="63"/>
      <c r="Q130" s="141"/>
      <c r="R130" s="141"/>
      <c r="S130" s="141"/>
      <c r="T130" s="141"/>
      <c r="U130" s="141"/>
      <c r="V130" s="58"/>
      <c r="X130" s="54"/>
      <c r="Y130" s="54"/>
      <c r="Z130" s="54"/>
    </row>
    <row r="131" spans="15:26">
      <c r="O131" s="59"/>
      <c r="P131" s="63"/>
      <c r="Q131" s="141"/>
      <c r="R131" s="141"/>
      <c r="S131" s="141"/>
      <c r="T131" s="141"/>
      <c r="U131" s="141"/>
      <c r="V131" s="58"/>
      <c r="X131" s="54"/>
      <c r="Y131" s="54"/>
      <c r="Z131" s="54"/>
    </row>
    <row r="132" spans="15:26">
      <c r="O132" s="59"/>
      <c r="P132" s="63"/>
      <c r="Q132" s="141"/>
      <c r="R132" s="141"/>
      <c r="S132" s="141"/>
      <c r="T132" s="141"/>
      <c r="U132" s="141"/>
      <c r="V132" s="58"/>
      <c r="X132" s="54"/>
      <c r="Y132" s="54"/>
      <c r="Z132" s="54"/>
    </row>
    <row r="133" spans="15:26">
      <c r="O133" s="59"/>
      <c r="P133" s="63"/>
      <c r="Q133" s="141"/>
      <c r="R133" s="141"/>
      <c r="S133" s="141"/>
      <c r="T133" s="141"/>
      <c r="U133" s="141"/>
      <c r="V133" s="58"/>
      <c r="X133" s="54"/>
      <c r="Y133" s="54"/>
      <c r="Z133" s="54"/>
    </row>
    <row r="134" spans="15:26">
      <c r="O134" s="59"/>
      <c r="P134" s="63"/>
      <c r="Q134" s="141"/>
      <c r="R134" s="141"/>
      <c r="S134" s="141"/>
      <c r="T134" s="141"/>
      <c r="U134" s="141"/>
      <c r="V134" s="58"/>
      <c r="X134" s="54"/>
      <c r="Y134" s="54"/>
      <c r="Z134" s="54"/>
    </row>
    <row r="135" spans="15:26">
      <c r="O135" s="59"/>
      <c r="P135" s="63"/>
      <c r="Q135" s="141"/>
      <c r="R135" s="141"/>
      <c r="S135" s="141"/>
      <c r="T135" s="141"/>
      <c r="U135" s="141"/>
      <c r="V135" s="58"/>
      <c r="X135" s="54"/>
      <c r="Y135" s="54"/>
      <c r="Z135" s="54"/>
    </row>
    <row r="136" spans="15:26">
      <c r="O136" s="59"/>
      <c r="P136" s="63"/>
      <c r="Q136" s="141"/>
      <c r="R136" s="141"/>
      <c r="S136" s="141"/>
      <c r="T136" s="141"/>
      <c r="U136" s="141"/>
      <c r="V136" s="58"/>
      <c r="X136" s="54"/>
      <c r="Y136" s="54"/>
      <c r="Z136" s="54"/>
    </row>
    <row r="137" spans="15:26">
      <c r="O137" s="59"/>
      <c r="P137" s="63"/>
      <c r="Q137" s="141"/>
      <c r="R137" s="141"/>
      <c r="S137" s="141"/>
      <c r="T137" s="141"/>
      <c r="U137" s="141"/>
      <c r="V137" s="58"/>
      <c r="X137" s="54"/>
      <c r="Y137" s="54"/>
      <c r="Z137" s="54"/>
    </row>
    <row r="138" spans="15:26">
      <c r="O138" s="59"/>
      <c r="P138" s="63"/>
      <c r="Q138" s="141"/>
      <c r="R138" s="141"/>
      <c r="S138" s="141"/>
      <c r="T138" s="141"/>
      <c r="U138" s="141"/>
      <c r="V138" s="58"/>
      <c r="X138" s="54"/>
      <c r="Y138" s="54"/>
      <c r="Z138" s="54"/>
    </row>
    <row r="139" spans="15:26">
      <c r="O139" s="59"/>
      <c r="P139" s="63"/>
      <c r="Q139" s="141"/>
      <c r="R139" s="141"/>
      <c r="S139" s="141"/>
      <c r="T139" s="141"/>
      <c r="U139" s="141"/>
      <c r="V139" s="58"/>
      <c r="X139" s="54"/>
      <c r="Y139" s="54"/>
      <c r="Z139" s="54"/>
    </row>
    <row r="140" spans="15:26">
      <c r="O140" s="59"/>
      <c r="P140" s="63"/>
      <c r="Q140" s="141"/>
      <c r="R140" s="141"/>
      <c r="S140" s="141"/>
      <c r="T140" s="141"/>
      <c r="U140" s="141"/>
      <c r="V140" s="58"/>
      <c r="X140" s="54"/>
      <c r="Y140" s="54"/>
      <c r="Z140" s="54"/>
    </row>
    <row r="141" spans="15:26">
      <c r="O141" s="59"/>
      <c r="P141" s="63"/>
      <c r="Q141" s="141"/>
      <c r="R141" s="141"/>
      <c r="S141" s="141"/>
      <c r="T141" s="141"/>
      <c r="U141" s="141"/>
      <c r="V141" s="58"/>
      <c r="X141" s="54"/>
      <c r="Y141" s="54"/>
      <c r="Z141" s="54"/>
    </row>
    <row r="142" spans="15:26">
      <c r="O142" s="59"/>
      <c r="P142" s="63"/>
      <c r="Q142" s="141"/>
      <c r="R142" s="141"/>
      <c r="S142" s="141"/>
      <c r="T142" s="141"/>
      <c r="U142" s="141"/>
      <c r="V142" s="58"/>
      <c r="X142" s="54"/>
      <c r="Y142" s="54"/>
      <c r="Z142" s="54"/>
    </row>
    <row r="143" spans="15:26">
      <c r="O143" s="59"/>
      <c r="P143" s="63"/>
      <c r="Q143" s="141"/>
      <c r="R143" s="141"/>
      <c r="S143" s="141"/>
      <c r="T143" s="141"/>
      <c r="U143" s="141"/>
      <c r="V143" s="58"/>
      <c r="X143" s="54"/>
      <c r="Y143" s="54"/>
      <c r="Z143" s="54"/>
    </row>
    <row r="144" spans="15:26">
      <c r="O144" s="59"/>
      <c r="P144" s="63"/>
      <c r="Q144" s="141"/>
      <c r="R144" s="141"/>
      <c r="S144" s="141"/>
      <c r="T144" s="141"/>
      <c r="U144" s="141"/>
      <c r="V144" s="58"/>
      <c r="X144" s="54"/>
      <c r="Y144" s="54"/>
      <c r="Z144" s="54"/>
    </row>
    <row r="145" spans="15:26">
      <c r="O145" s="59"/>
      <c r="P145" s="63"/>
      <c r="Q145" s="141"/>
      <c r="R145" s="141"/>
      <c r="S145" s="141"/>
      <c r="T145" s="141"/>
      <c r="U145" s="141"/>
      <c r="V145" s="58"/>
      <c r="X145" s="54"/>
      <c r="Y145" s="54"/>
      <c r="Z145" s="54"/>
    </row>
    <row r="146" spans="15:26">
      <c r="O146" s="60">
        <v>42309</v>
      </c>
      <c r="P146" s="63"/>
      <c r="Q146" s="141"/>
      <c r="R146" s="141"/>
      <c r="S146" s="141"/>
      <c r="T146" s="141"/>
      <c r="U146" s="141"/>
      <c r="V146" s="58"/>
      <c r="X146" s="54"/>
      <c r="Y146" s="54"/>
      <c r="Z146" s="54"/>
    </row>
    <row r="147" spans="15:26">
      <c r="O147" s="60"/>
      <c r="P147" s="63"/>
      <c r="Q147" s="141"/>
      <c r="R147" s="141"/>
      <c r="S147" s="141"/>
      <c r="T147" s="141"/>
      <c r="U147" s="141"/>
      <c r="V147" s="58"/>
      <c r="X147" s="54"/>
      <c r="Y147" s="54"/>
      <c r="Z147" s="54"/>
    </row>
    <row r="148" spans="15:26">
      <c r="O148" s="59"/>
      <c r="P148" s="63"/>
      <c r="Q148" s="141"/>
      <c r="R148" s="141"/>
      <c r="S148" s="141"/>
      <c r="T148" s="141"/>
      <c r="U148" s="141"/>
      <c r="V148" s="58"/>
      <c r="X148" s="54"/>
      <c r="Y148" s="54"/>
      <c r="Z148" s="54"/>
    </row>
    <row r="149" spans="15:26">
      <c r="O149" s="59"/>
      <c r="P149" s="63"/>
      <c r="Q149" s="141"/>
      <c r="R149" s="141"/>
      <c r="S149" s="141"/>
      <c r="T149" s="141"/>
      <c r="U149" s="141"/>
      <c r="V149" s="58"/>
      <c r="X149" s="54"/>
      <c r="Y149" s="54"/>
      <c r="Z149" s="54"/>
    </row>
    <row r="150" spans="15:26">
      <c r="O150" s="59"/>
      <c r="P150" s="63"/>
      <c r="Q150" s="141"/>
      <c r="R150" s="141"/>
      <c r="S150" s="141"/>
      <c r="T150" s="141"/>
      <c r="U150" s="141"/>
      <c r="V150" s="58"/>
      <c r="X150" s="54"/>
      <c r="Y150" s="54"/>
      <c r="Z150" s="54"/>
    </row>
    <row r="151" spans="15:26">
      <c r="O151" s="59"/>
      <c r="P151" s="63"/>
      <c r="Q151" s="141"/>
      <c r="R151" s="141"/>
      <c r="S151" s="141"/>
      <c r="T151" s="141"/>
      <c r="U151" s="141"/>
      <c r="V151" s="58"/>
      <c r="X151" s="54"/>
      <c r="Y151" s="54"/>
      <c r="Z151" s="54"/>
    </row>
    <row r="152" spans="15:26">
      <c r="O152" s="59"/>
      <c r="P152" s="63"/>
      <c r="Q152" s="141"/>
      <c r="R152" s="141"/>
      <c r="S152" s="141"/>
      <c r="T152" s="141"/>
      <c r="U152" s="141"/>
      <c r="V152" s="58"/>
      <c r="X152" s="54"/>
      <c r="Y152" s="54"/>
      <c r="Z152" s="54"/>
    </row>
    <row r="153" spans="15:26">
      <c r="O153" s="59"/>
      <c r="P153" s="63"/>
      <c r="Q153" s="141"/>
      <c r="R153" s="141"/>
      <c r="S153" s="141"/>
      <c r="T153" s="141"/>
      <c r="U153" s="141"/>
      <c r="V153" s="58"/>
      <c r="X153" s="54"/>
      <c r="Y153" s="54"/>
      <c r="Z153" s="54"/>
    </row>
    <row r="154" spans="15:26">
      <c r="O154" s="59"/>
      <c r="P154" s="63"/>
      <c r="Q154" s="141"/>
      <c r="R154" s="141"/>
      <c r="S154" s="141"/>
      <c r="T154" s="141"/>
      <c r="U154" s="141"/>
      <c r="V154" s="58"/>
      <c r="X154" s="54"/>
      <c r="Y154" s="54"/>
      <c r="Z154" s="54"/>
    </row>
    <row r="155" spans="15:26">
      <c r="O155" s="59"/>
      <c r="P155" s="63"/>
      <c r="Q155" s="141"/>
      <c r="R155" s="141"/>
      <c r="S155" s="141"/>
      <c r="T155" s="141"/>
      <c r="U155" s="141"/>
      <c r="V155" s="58"/>
      <c r="X155" s="54"/>
      <c r="Y155" s="54"/>
      <c r="Z155" s="54"/>
    </row>
    <row r="156" spans="15:26">
      <c r="O156" s="59"/>
      <c r="P156" s="63"/>
      <c r="Q156" s="141"/>
      <c r="R156" s="141"/>
      <c r="S156" s="141"/>
      <c r="T156" s="141"/>
      <c r="U156" s="141"/>
      <c r="V156" s="58"/>
      <c r="X156" s="54"/>
      <c r="Y156" s="54"/>
      <c r="Z156" s="54"/>
    </row>
    <row r="157" spans="15:26">
      <c r="O157" s="59"/>
      <c r="P157" s="63"/>
      <c r="Q157" s="141"/>
      <c r="R157" s="141"/>
      <c r="S157" s="141"/>
      <c r="T157" s="141"/>
      <c r="U157" s="141"/>
      <c r="V157" s="58"/>
      <c r="X157" s="54"/>
      <c r="Y157" s="54"/>
      <c r="Z157" s="54"/>
    </row>
    <row r="158" spans="15:26">
      <c r="O158" s="59"/>
      <c r="P158" s="63"/>
      <c r="Q158" s="141"/>
      <c r="R158" s="141"/>
      <c r="S158" s="141"/>
      <c r="T158" s="141"/>
      <c r="U158" s="141"/>
      <c r="V158" s="58"/>
      <c r="X158" s="54"/>
      <c r="Y158" s="54"/>
      <c r="Z158" s="54"/>
    </row>
    <row r="159" spans="15:26">
      <c r="O159" s="59"/>
      <c r="P159" s="63"/>
      <c r="Q159" s="141"/>
      <c r="R159" s="141"/>
      <c r="S159" s="141"/>
      <c r="T159" s="141"/>
      <c r="U159" s="141"/>
      <c r="V159" s="58"/>
      <c r="X159" s="54"/>
      <c r="Y159" s="54"/>
      <c r="Z159" s="54"/>
    </row>
    <row r="160" spans="15:26">
      <c r="O160" s="59"/>
      <c r="P160" s="63"/>
      <c r="Q160" s="141"/>
      <c r="R160" s="141"/>
      <c r="S160" s="141"/>
      <c r="T160" s="141"/>
      <c r="U160" s="141"/>
      <c r="V160" s="58"/>
      <c r="X160" s="54"/>
      <c r="Y160" s="54"/>
      <c r="Z160" s="54"/>
    </row>
    <row r="161" spans="15:26">
      <c r="O161" s="59"/>
      <c r="P161" s="63"/>
      <c r="Q161" s="141"/>
      <c r="R161" s="141"/>
      <c r="S161" s="141"/>
      <c r="T161" s="141"/>
      <c r="U161" s="141"/>
      <c r="V161" s="58"/>
      <c r="X161" s="54"/>
      <c r="Y161" s="54"/>
      <c r="Z161" s="54"/>
    </row>
    <row r="162" spans="15:26">
      <c r="O162" s="59"/>
      <c r="P162" s="63"/>
      <c r="Q162" s="141"/>
      <c r="R162" s="141"/>
      <c r="S162" s="141"/>
      <c r="T162" s="141"/>
      <c r="U162" s="141"/>
      <c r="V162" s="58"/>
      <c r="X162" s="54"/>
      <c r="Y162" s="54"/>
      <c r="Z162" s="54"/>
    </row>
    <row r="163" spans="15:26">
      <c r="O163" s="59"/>
      <c r="P163" s="63"/>
      <c r="Q163" s="141"/>
      <c r="R163" s="141"/>
      <c r="S163" s="141"/>
      <c r="T163" s="141"/>
      <c r="U163" s="141"/>
      <c r="V163" s="58"/>
      <c r="X163" s="54"/>
      <c r="Y163" s="54"/>
      <c r="Z163" s="54"/>
    </row>
    <row r="164" spans="15:26">
      <c r="O164" s="59"/>
      <c r="P164" s="63"/>
      <c r="Q164" s="141"/>
      <c r="R164" s="141"/>
      <c r="S164" s="141"/>
      <c r="T164" s="141"/>
      <c r="U164" s="141"/>
      <c r="V164" s="58"/>
      <c r="X164" s="54"/>
      <c r="Y164" s="54"/>
      <c r="Z164" s="54"/>
    </row>
    <row r="165" spans="15:26">
      <c r="O165" s="59"/>
      <c r="P165" s="63"/>
      <c r="Q165" s="141"/>
      <c r="R165" s="141"/>
      <c r="S165" s="141"/>
      <c r="T165" s="141"/>
      <c r="U165" s="141"/>
      <c r="V165" s="58"/>
      <c r="X165" s="54"/>
      <c r="Y165" s="54"/>
      <c r="Z165" s="54"/>
    </row>
    <row r="166" spans="15:26">
      <c r="O166" s="59"/>
      <c r="P166" s="63"/>
      <c r="Q166" s="141"/>
      <c r="R166" s="141"/>
      <c r="S166" s="141"/>
      <c r="T166" s="141"/>
      <c r="U166" s="141"/>
      <c r="V166" s="58"/>
      <c r="X166" s="54"/>
      <c r="Y166" s="54"/>
      <c r="Z166" s="54"/>
    </row>
    <row r="167" spans="15:26">
      <c r="O167" s="59"/>
      <c r="P167" s="63"/>
      <c r="Q167" s="141"/>
      <c r="R167" s="141"/>
      <c r="S167" s="141"/>
      <c r="T167" s="141"/>
      <c r="U167" s="141"/>
      <c r="V167" s="58"/>
      <c r="X167" s="54"/>
      <c r="Y167" s="54"/>
      <c r="Z167" s="54"/>
    </row>
    <row r="168" spans="15:26">
      <c r="O168" s="59"/>
      <c r="P168" s="63"/>
      <c r="Q168" s="141"/>
      <c r="R168" s="141"/>
      <c r="S168" s="141"/>
      <c r="T168" s="141"/>
      <c r="U168" s="141"/>
      <c r="V168" s="58"/>
      <c r="X168" s="54"/>
      <c r="Y168" s="54"/>
      <c r="Z168" s="54"/>
    </row>
    <row r="169" spans="15:26">
      <c r="O169" s="59"/>
      <c r="P169" s="63"/>
      <c r="Q169" s="141"/>
      <c r="R169" s="141"/>
      <c r="S169" s="141"/>
      <c r="T169" s="141"/>
      <c r="U169" s="141"/>
      <c r="V169" s="58"/>
      <c r="X169" s="54"/>
      <c r="Y169" s="54"/>
      <c r="Z169" s="54"/>
    </row>
    <row r="170" spans="15:26">
      <c r="O170" s="59"/>
      <c r="P170" s="63"/>
      <c r="Q170" s="141"/>
      <c r="R170" s="141"/>
      <c r="S170" s="141"/>
      <c r="T170" s="141"/>
      <c r="U170" s="141"/>
      <c r="V170" s="58"/>
      <c r="X170" s="54"/>
      <c r="Y170" s="54"/>
      <c r="Z170" s="54"/>
    </row>
    <row r="171" spans="15:26">
      <c r="O171" s="59"/>
      <c r="P171" s="63"/>
      <c r="Q171" s="141"/>
      <c r="R171" s="141"/>
      <c r="S171" s="141"/>
      <c r="T171" s="141"/>
      <c r="U171" s="141"/>
      <c r="V171" s="58"/>
      <c r="X171" s="54"/>
      <c r="Y171" s="54"/>
      <c r="Z171" s="54"/>
    </row>
    <row r="172" spans="15:26">
      <c r="O172" s="59"/>
      <c r="P172" s="63"/>
      <c r="Q172" s="141"/>
      <c r="R172" s="141"/>
      <c r="S172" s="141"/>
      <c r="T172" s="141"/>
      <c r="U172" s="141"/>
      <c r="V172" s="58"/>
      <c r="X172" s="54"/>
      <c r="Y172" s="54"/>
      <c r="Z172" s="54"/>
    </row>
    <row r="173" spans="15:26">
      <c r="O173" s="59"/>
      <c r="P173" s="63"/>
      <c r="Q173" s="141"/>
      <c r="R173" s="141"/>
      <c r="S173" s="141"/>
      <c r="T173" s="141"/>
      <c r="U173" s="141"/>
      <c r="V173" s="58"/>
      <c r="X173" s="54"/>
      <c r="Y173" s="54"/>
      <c r="Z173" s="54"/>
    </row>
    <row r="174" spans="15:26">
      <c r="O174" s="59"/>
      <c r="P174" s="63"/>
      <c r="Q174" s="141"/>
      <c r="R174" s="141"/>
      <c r="S174" s="141"/>
      <c r="T174" s="141"/>
      <c r="U174" s="141"/>
      <c r="V174" s="58"/>
      <c r="X174" s="54"/>
      <c r="Y174" s="54"/>
      <c r="Z174" s="54"/>
    </row>
    <row r="175" spans="15:26">
      <c r="O175" s="59"/>
      <c r="P175" s="63"/>
      <c r="Q175" s="141"/>
      <c r="R175" s="141"/>
      <c r="S175" s="141"/>
      <c r="T175" s="141"/>
      <c r="U175" s="141"/>
      <c r="V175" s="58"/>
      <c r="X175" s="54"/>
      <c r="Y175" s="54"/>
      <c r="Z175" s="54"/>
    </row>
    <row r="176" spans="15:26">
      <c r="O176" s="60">
        <v>42339</v>
      </c>
      <c r="P176" s="63"/>
      <c r="Q176" s="141"/>
      <c r="R176" s="141"/>
      <c r="S176" s="141"/>
      <c r="T176" s="141"/>
      <c r="U176" s="141"/>
      <c r="V176" s="58"/>
      <c r="X176" s="54"/>
      <c r="Y176" s="54"/>
      <c r="Z176" s="54"/>
    </row>
    <row r="177" spans="15:26">
      <c r="O177" s="60"/>
      <c r="P177" s="63"/>
      <c r="Q177" s="141"/>
      <c r="R177" s="141"/>
      <c r="S177" s="141"/>
      <c r="T177" s="141"/>
      <c r="U177" s="141"/>
      <c r="V177" s="58"/>
      <c r="X177" s="54"/>
      <c r="Y177" s="54"/>
      <c r="Z177" s="54"/>
    </row>
    <row r="178" spans="15:26">
      <c r="O178" s="59"/>
      <c r="P178" s="63"/>
      <c r="Q178" s="141"/>
      <c r="R178" s="141"/>
      <c r="S178" s="141"/>
      <c r="T178" s="141"/>
      <c r="U178" s="141"/>
      <c r="V178" s="58"/>
      <c r="X178" s="54"/>
      <c r="Y178" s="54"/>
      <c r="Z178" s="54"/>
    </row>
    <row r="179" spans="15:26">
      <c r="O179" s="59"/>
      <c r="P179" s="63"/>
      <c r="Q179" s="141"/>
      <c r="R179" s="141"/>
      <c r="S179" s="141"/>
      <c r="T179" s="141"/>
      <c r="U179" s="141"/>
      <c r="V179" s="58"/>
      <c r="X179" s="54"/>
      <c r="Y179" s="54"/>
      <c r="Z179" s="54"/>
    </row>
    <row r="180" spans="15:26">
      <c r="O180" s="59"/>
      <c r="P180" s="63"/>
      <c r="Q180" s="141"/>
      <c r="R180" s="141"/>
      <c r="S180" s="141"/>
      <c r="T180" s="141"/>
      <c r="U180" s="141"/>
      <c r="V180" s="58"/>
      <c r="X180" s="54"/>
      <c r="Y180" s="54"/>
      <c r="Z180" s="54"/>
    </row>
    <row r="181" spans="15:26">
      <c r="O181" s="59"/>
      <c r="P181" s="63"/>
      <c r="Q181" s="141"/>
      <c r="R181" s="141"/>
      <c r="S181" s="141"/>
      <c r="T181" s="141"/>
      <c r="U181" s="141"/>
      <c r="V181" s="58"/>
      <c r="X181" s="54"/>
      <c r="Y181" s="54"/>
      <c r="Z181" s="54"/>
    </row>
    <row r="182" spans="15:26">
      <c r="O182" s="59"/>
      <c r="P182" s="63"/>
      <c r="Q182" s="141"/>
      <c r="R182" s="141"/>
      <c r="S182" s="141"/>
      <c r="T182" s="141"/>
      <c r="U182" s="141"/>
      <c r="V182" s="58"/>
      <c r="X182" s="54"/>
      <c r="Y182" s="54"/>
      <c r="Z182" s="54"/>
    </row>
    <row r="183" spans="15:26">
      <c r="O183" s="59"/>
      <c r="P183" s="63"/>
      <c r="Q183" s="141"/>
      <c r="R183" s="141"/>
      <c r="S183" s="141"/>
      <c r="T183" s="141"/>
      <c r="U183" s="141"/>
      <c r="V183" s="58"/>
      <c r="X183" s="54"/>
      <c r="Y183" s="54"/>
      <c r="Z183" s="54"/>
    </row>
    <row r="184" spans="15:26">
      <c r="O184" s="59"/>
      <c r="P184" s="63"/>
      <c r="Q184" s="141"/>
      <c r="R184" s="141"/>
      <c r="S184" s="141"/>
      <c r="T184" s="141"/>
      <c r="U184" s="141"/>
      <c r="V184" s="58"/>
      <c r="X184" s="54"/>
      <c r="Y184" s="54"/>
      <c r="Z184" s="54"/>
    </row>
    <row r="185" spans="15:26">
      <c r="O185" s="59"/>
      <c r="P185" s="63"/>
      <c r="Q185" s="141"/>
      <c r="R185" s="141"/>
      <c r="S185" s="141"/>
      <c r="T185" s="141"/>
      <c r="U185" s="141"/>
      <c r="V185" s="58"/>
      <c r="X185" s="54"/>
      <c r="Y185" s="54"/>
      <c r="Z185" s="54"/>
    </row>
    <row r="186" spans="15:26">
      <c r="O186" s="59"/>
      <c r="P186" s="63"/>
      <c r="Q186" s="141"/>
      <c r="R186" s="141"/>
      <c r="S186" s="141"/>
      <c r="T186" s="141"/>
      <c r="U186" s="141"/>
      <c r="V186" s="58"/>
      <c r="X186" s="54"/>
      <c r="Y186" s="54"/>
      <c r="Z186" s="54"/>
    </row>
    <row r="187" spans="15:26">
      <c r="O187" s="59"/>
      <c r="P187" s="63"/>
      <c r="Q187" s="141"/>
      <c r="R187" s="141"/>
      <c r="S187" s="141"/>
      <c r="T187" s="141"/>
      <c r="U187" s="141"/>
      <c r="V187" s="58"/>
      <c r="X187" s="54"/>
      <c r="Y187" s="54"/>
      <c r="Z187" s="54"/>
    </row>
    <row r="188" spans="15:26">
      <c r="O188" s="59"/>
      <c r="P188" s="63"/>
      <c r="Q188" s="141"/>
      <c r="R188" s="141"/>
      <c r="S188" s="141"/>
      <c r="T188" s="141"/>
      <c r="U188" s="141"/>
      <c r="V188" s="58"/>
      <c r="X188" s="54"/>
      <c r="Y188" s="54"/>
      <c r="Z188" s="54"/>
    </row>
    <row r="189" spans="15:26">
      <c r="O189" s="59"/>
      <c r="P189" s="63"/>
      <c r="Q189" s="141"/>
      <c r="R189" s="141"/>
      <c r="S189" s="141"/>
      <c r="T189" s="141"/>
      <c r="U189" s="141"/>
      <c r="V189" s="58"/>
      <c r="X189" s="54"/>
      <c r="Y189" s="54"/>
      <c r="Z189" s="54"/>
    </row>
    <row r="190" spans="15:26">
      <c r="O190" s="59"/>
      <c r="P190" s="63"/>
      <c r="Q190" s="141"/>
      <c r="R190" s="141"/>
      <c r="S190" s="141"/>
      <c r="T190" s="141"/>
      <c r="U190" s="141"/>
      <c r="V190" s="58"/>
      <c r="X190" s="54"/>
      <c r="Y190" s="54"/>
      <c r="Z190" s="54"/>
    </row>
    <row r="191" spans="15:26">
      <c r="O191" s="59"/>
      <c r="P191" s="63"/>
      <c r="Q191" s="141"/>
      <c r="R191" s="141"/>
      <c r="S191" s="141"/>
      <c r="T191" s="141"/>
      <c r="U191" s="141"/>
      <c r="V191" s="58"/>
      <c r="X191" s="54"/>
      <c r="Y191" s="54"/>
      <c r="Z191" s="54"/>
    </row>
    <row r="192" spans="15:26">
      <c r="O192" s="59"/>
      <c r="P192" s="63"/>
      <c r="Q192" s="141"/>
      <c r="R192" s="141"/>
      <c r="S192" s="141"/>
      <c r="T192" s="141"/>
      <c r="U192" s="141"/>
      <c r="V192" s="58"/>
      <c r="X192" s="54"/>
      <c r="Y192" s="54"/>
      <c r="Z192" s="54"/>
    </row>
    <row r="193" spans="15:26">
      <c r="O193" s="59"/>
      <c r="P193" s="63"/>
      <c r="Q193" s="141"/>
      <c r="R193" s="141"/>
      <c r="S193" s="141"/>
      <c r="T193" s="141"/>
      <c r="U193" s="141"/>
      <c r="V193" s="58"/>
      <c r="X193" s="54"/>
      <c r="Y193" s="54"/>
      <c r="Z193" s="54"/>
    </row>
    <row r="194" spans="15:26">
      <c r="O194" s="59"/>
      <c r="P194" s="63"/>
      <c r="Q194" s="141"/>
      <c r="R194" s="141"/>
      <c r="S194" s="141"/>
      <c r="T194" s="141"/>
      <c r="U194" s="141"/>
      <c r="V194" s="58"/>
      <c r="X194" s="54"/>
      <c r="Y194" s="54"/>
      <c r="Z194" s="54"/>
    </row>
    <row r="195" spans="15:26">
      <c r="O195" s="59"/>
      <c r="P195" s="63"/>
      <c r="Q195" s="141"/>
      <c r="R195" s="141"/>
      <c r="S195" s="141"/>
      <c r="T195" s="141"/>
      <c r="U195" s="141"/>
      <c r="V195" s="58"/>
      <c r="X195" s="54"/>
      <c r="Y195" s="54"/>
      <c r="Z195" s="54"/>
    </row>
    <row r="196" spans="15:26">
      <c r="O196" s="59"/>
      <c r="P196" s="63"/>
      <c r="Q196" s="141"/>
      <c r="R196" s="141"/>
      <c r="S196" s="141"/>
      <c r="T196" s="141"/>
      <c r="U196" s="141"/>
      <c r="V196" s="58"/>
      <c r="X196" s="54"/>
      <c r="Y196" s="54"/>
      <c r="Z196" s="54"/>
    </row>
    <row r="197" spans="15:26">
      <c r="O197" s="59"/>
      <c r="P197" s="63"/>
      <c r="Q197" s="141"/>
      <c r="R197" s="141"/>
      <c r="S197" s="141"/>
      <c r="T197" s="141"/>
      <c r="U197" s="141"/>
      <c r="V197" s="58"/>
      <c r="X197" s="54"/>
      <c r="Y197" s="54"/>
      <c r="Z197" s="54"/>
    </row>
    <row r="198" spans="15:26">
      <c r="O198" s="59"/>
      <c r="P198" s="63"/>
      <c r="Q198" s="141"/>
      <c r="R198" s="141"/>
      <c r="S198" s="141"/>
      <c r="T198" s="141"/>
      <c r="U198" s="141"/>
      <c r="V198" s="58"/>
      <c r="X198" s="54"/>
      <c r="Y198" s="54"/>
      <c r="Z198" s="54"/>
    </row>
    <row r="199" spans="15:26">
      <c r="O199" s="59"/>
      <c r="P199" s="63"/>
      <c r="Q199" s="141"/>
      <c r="R199" s="141"/>
      <c r="S199" s="141"/>
      <c r="T199" s="141"/>
      <c r="U199" s="141"/>
      <c r="V199" s="58"/>
      <c r="X199" s="54"/>
      <c r="Y199" s="54"/>
      <c r="Z199" s="54"/>
    </row>
    <row r="200" spans="15:26">
      <c r="O200" s="59"/>
      <c r="P200" s="63"/>
      <c r="Q200" s="141"/>
      <c r="R200" s="141"/>
      <c r="S200" s="141"/>
      <c r="T200" s="141"/>
      <c r="U200" s="141"/>
      <c r="V200" s="58"/>
      <c r="X200" s="54"/>
      <c r="Y200" s="54"/>
      <c r="Z200" s="54"/>
    </row>
    <row r="201" spans="15:26">
      <c r="O201" s="59"/>
      <c r="P201" s="63"/>
      <c r="Q201" s="141"/>
      <c r="R201" s="141"/>
      <c r="S201" s="141"/>
      <c r="T201" s="141"/>
      <c r="U201" s="141"/>
      <c r="V201" s="58"/>
      <c r="X201" s="54"/>
      <c r="Y201" s="54"/>
      <c r="Z201" s="54"/>
    </row>
    <row r="202" spans="15:26">
      <c r="O202" s="59"/>
      <c r="P202" s="63"/>
      <c r="Q202" s="141"/>
      <c r="R202" s="141"/>
      <c r="S202" s="141"/>
      <c r="T202" s="141"/>
      <c r="U202" s="141"/>
      <c r="V202" s="58"/>
      <c r="X202" s="54"/>
      <c r="Y202" s="54"/>
      <c r="Z202" s="54"/>
    </row>
    <row r="203" spans="15:26">
      <c r="O203" s="59"/>
      <c r="P203" s="63"/>
      <c r="Q203" s="141"/>
      <c r="R203" s="141"/>
      <c r="S203" s="141"/>
      <c r="T203" s="141"/>
      <c r="U203" s="141"/>
      <c r="V203" s="58"/>
      <c r="X203" s="54"/>
      <c r="Y203" s="54"/>
      <c r="Z203" s="54"/>
    </row>
    <row r="204" spans="15:26">
      <c r="O204" s="59"/>
      <c r="P204" s="63"/>
      <c r="Q204" s="141"/>
      <c r="R204" s="141"/>
      <c r="S204" s="141"/>
      <c r="T204" s="141"/>
      <c r="U204" s="141"/>
      <c r="V204" s="58"/>
      <c r="X204" s="54"/>
      <c r="Y204" s="54"/>
      <c r="Z204" s="54"/>
    </row>
    <row r="205" spans="15:26">
      <c r="O205" s="59"/>
      <c r="P205" s="63"/>
      <c r="Q205" s="141"/>
      <c r="R205" s="141"/>
      <c r="S205" s="141"/>
      <c r="T205" s="141"/>
      <c r="U205" s="141"/>
      <c r="V205" s="58"/>
      <c r="X205" s="54"/>
      <c r="Y205" s="54"/>
      <c r="Z205" s="54"/>
    </row>
    <row r="206" spans="15:26">
      <c r="O206" s="59"/>
      <c r="P206" s="63"/>
      <c r="Q206" s="141"/>
      <c r="R206" s="141"/>
      <c r="S206" s="141"/>
      <c r="T206" s="141"/>
      <c r="U206" s="141"/>
      <c r="V206" s="58"/>
      <c r="X206" s="54"/>
      <c r="Y206" s="54"/>
      <c r="Z206" s="54"/>
    </row>
    <row r="207" spans="15:26">
      <c r="O207" s="60">
        <v>42370</v>
      </c>
      <c r="P207" s="63"/>
      <c r="Q207" s="141"/>
      <c r="R207" s="141"/>
      <c r="S207" s="141"/>
      <c r="T207" s="141"/>
      <c r="U207" s="141"/>
      <c r="V207" s="58"/>
      <c r="X207" s="54"/>
      <c r="Y207" s="54"/>
      <c r="Z207" s="54"/>
    </row>
    <row r="208" spans="15:26">
      <c r="O208" s="60"/>
      <c r="P208" s="63"/>
      <c r="Q208" s="141"/>
      <c r="R208" s="141"/>
      <c r="S208" s="141"/>
      <c r="T208" s="141"/>
      <c r="U208" s="141"/>
      <c r="V208" s="58"/>
      <c r="X208" s="54"/>
      <c r="Y208" s="54"/>
      <c r="Z208" s="54"/>
    </row>
    <row r="209" spans="15:26">
      <c r="O209" s="59"/>
      <c r="P209" s="63"/>
      <c r="Q209" s="141"/>
      <c r="R209" s="141"/>
      <c r="S209" s="141"/>
      <c r="T209" s="141"/>
      <c r="U209" s="141"/>
      <c r="V209" s="58"/>
      <c r="X209" s="54"/>
      <c r="Y209" s="54"/>
      <c r="Z209" s="54"/>
    </row>
    <row r="210" spans="15:26">
      <c r="O210" s="59"/>
      <c r="P210" s="63"/>
      <c r="Q210" s="141"/>
      <c r="R210" s="141"/>
      <c r="S210" s="141"/>
      <c r="T210" s="141"/>
      <c r="U210" s="141"/>
      <c r="V210" s="58"/>
      <c r="X210" s="54"/>
      <c r="Y210" s="54"/>
      <c r="Z210" s="54"/>
    </row>
    <row r="211" spans="15:26">
      <c r="O211" s="59"/>
      <c r="P211" s="63"/>
      <c r="Q211" s="141"/>
      <c r="R211" s="141"/>
      <c r="S211" s="141"/>
      <c r="T211" s="141"/>
      <c r="U211" s="141"/>
      <c r="V211" s="58"/>
      <c r="X211" s="54"/>
      <c r="Y211" s="54"/>
      <c r="Z211" s="54"/>
    </row>
    <row r="212" spans="15:26">
      <c r="O212" s="59"/>
      <c r="P212" s="63"/>
      <c r="Q212" s="141"/>
      <c r="R212" s="141"/>
      <c r="S212" s="141"/>
      <c r="T212" s="141"/>
      <c r="U212" s="141"/>
      <c r="V212" s="58"/>
      <c r="X212" s="54"/>
      <c r="Y212" s="54"/>
      <c r="Z212" s="54"/>
    </row>
    <row r="213" spans="15:26">
      <c r="O213" s="59"/>
      <c r="P213" s="63"/>
      <c r="Q213" s="141"/>
      <c r="R213" s="141"/>
      <c r="S213" s="141"/>
      <c r="T213" s="141"/>
      <c r="U213" s="141"/>
      <c r="V213" s="58"/>
      <c r="X213" s="54"/>
      <c r="Y213" s="54"/>
      <c r="Z213" s="54"/>
    </row>
    <row r="214" spans="15:26">
      <c r="O214" s="59"/>
      <c r="P214" s="63"/>
      <c r="Q214" s="141"/>
      <c r="R214" s="141"/>
      <c r="S214" s="141"/>
      <c r="T214" s="141"/>
      <c r="U214" s="141"/>
      <c r="V214" s="58"/>
      <c r="X214" s="54"/>
      <c r="Y214" s="54"/>
      <c r="Z214" s="54"/>
    </row>
    <row r="215" spans="15:26">
      <c r="O215" s="59"/>
      <c r="P215" s="63"/>
      <c r="Q215" s="141"/>
      <c r="R215" s="141"/>
      <c r="S215" s="141"/>
      <c r="T215" s="141"/>
      <c r="U215" s="141"/>
      <c r="V215" s="58"/>
      <c r="X215" s="54"/>
      <c r="Y215" s="54"/>
      <c r="Z215" s="54"/>
    </row>
    <row r="216" spans="15:26">
      <c r="O216" s="59"/>
      <c r="P216" s="63"/>
      <c r="Q216" s="141"/>
      <c r="R216" s="141"/>
      <c r="S216" s="141"/>
      <c r="T216" s="141"/>
      <c r="U216" s="141"/>
      <c r="V216" s="58"/>
      <c r="X216" s="54"/>
      <c r="Y216" s="54"/>
      <c r="Z216" s="54"/>
    </row>
    <row r="217" spans="15:26">
      <c r="O217" s="59"/>
      <c r="P217" s="63"/>
      <c r="Q217" s="141"/>
      <c r="R217" s="141"/>
      <c r="S217" s="141"/>
      <c r="T217" s="141"/>
      <c r="U217" s="141"/>
      <c r="V217" s="58"/>
      <c r="X217" s="54"/>
      <c r="Y217" s="54"/>
      <c r="Z217" s="54"/>
    </row>
    <row r="218" spans="15:26">
      <c r="O218" s="59"/>
      <c r="P218" s="63"/>
      <c r="Q218" s="141"/>
      <c r="R218" s="141"/>
      <c r="S218" s="141"/>
      <c r="T218" s="141"/>
      <c r="U218" s="141"/>
      <c r="V218" s="58"/>
      <c r="X218" s="54"/>
      <c r="Y218" s="54"/>
      <c r="Z218" s="54"/>
    </row>
    <row r="219" spans="15:26">
      <c r="O219" s="59"/>
      <c r="P219" s="63"/>
      <c r="Q219" s="141"/>
      <c r="R219" s="141"/>
      <c r="S219" s="141"/>
      <c r="T219" s="141"/>
      <c r="U219" s="141"/>
      <c r="V219" s="58"/>
      <c r="X219" s="54"/>
      <c r="Y219" s="54"/>
      <c r="Z219" s="54"/>
    </row>
    <row r="220" spans="15:26">
      <c r="O220" s="59"/>
      <c r="P220" s="63"/>
      <c r="Q220" s="141"/>
      <c r="R220" s="141"/>
      <c r="S220" s="141"/>
      <c r="T220" s="141"/>
      <c r="U220" s="141"/>
      <c r="V220" s="58"/>
      <c r="X220" s="54"/>
      <c r="Y220" s="54"/>
      <c r="Z220" s="54"/>
    </row>
    <row r="221" spans="15:26">
      <c r="O221" s="59"/>
      <c r="P221" s="63"/>
      <c r="Q221" s="141"/>
      <c r="R221" s="141"/>
      <c r="S221" s="141"/>
      <c r="T221" s="141"/>
      <c r="U221" s="141"/>
      <c r="V221" s="58"/>
      <c r="X221" s="54"/>
      <c r="Y221" s="54"/>
      <c r="Z221" s="54"/>
    </row>
    <row r="222" spans="15:26">
      <c r="O222" s="59"/>
      <c r="P222" s="63"/>
      <c r="Q222" s="141"/>
      <c r="R222" s="141"/>
      <c r="S222" s="141"/>
      <c r="T222" s="141"/>
      <c r="U222" s="141"/>
      <c r="V222" s="58"/>
      <c r="X222" s="54"/>
      <c r="Y222" s="54"/>
      <c r="Z222" s="54"/>
    </row>
    <row r="223" spans="15:26">
      <c r="O223" s="59"/>
      <c r="P223" s="63"/>
      <c r="Q223" s="141"/>
      <c r="R223" s="141"/>
      <c r="S223" s="141"/>
      <c r="T223" s="141"/>
      <c r="U223" s="141"/>
      <c r="V223" s="58"/>
      <c r="X223" s="54"/>
      <c r="Y223" s="54"/>
      <c r="Z223" s="54"/>
    </row>
    <row r="224" spans="15:26">
      <c r="O224" s="59"/>
      <c r="P224" s="63"/>
      <c r="Q224" s="141"/>
      <c r="R224" s="141"/>
      <c r="S224" s="141"/>
      <c r="T224" s="141"/>
      <c r="U224" s="141"/>
      <c r="V224" s="58"/>
      <c r="X224" s="54"/>
      <c r="Y224" s="54"/>
      <c r="Z224" s="54"/>
    </row>
    <row r="225" spans="15:26">
      <c r="O225" s="59"/>
      <c r="P225" s="63"/>
      <c r="Q225" s="141"/>
      <c r="R225" s="141"/>
      <c r="S225" s="141"/>
      <c r="T225" s="141"/>
      <c r="U225" s="141"/>
      <c r="V225" s="58"/>
      <c r="X225" s="54"/>
      <c r="Y225" s="54"/>
      <c r="Z225" s="54"/>
    </row>
    <row r="226" spans="15:26">
      <c r="O226" s="59"/>
      <c r="P226" s="63"/>
      <c r="Q226" s="141"/>
      <c r="R226" s="141"/>
      <c r="S226" s="141"/>
      <c r="T226" s="141"/>
      <c r="U226" s="141"/>
      <c r="V226" s="58"/>
      <c r="X226" s="54"/>
      <c r="Y226" s="54"/>
      <c r="Z226" s="54"/>
    </row>
    <row r="227" spans="15:26">
      <c r="O227" s="59"/>
      <c r="P227" s="63"/>
      <c r="Q227" s="141"/>
      <c r="R227" s="141"/>
      <c r="S227" s="141"/>
      <c r="T227" s="141"/>
      <c r="U227" s="141"/>
      <c r="V227" s="58"/>
      <c r="X227" s="54"/>
      <c r="Y227" s="54"/>
      <c r="Z227" s="54"/>
    </row>
    <row r="228" spans="15:26">
      <c r="O228" s="59"/>
      <c r="P228" s="63"/>
      <c r="Q228" s="141"/>
      <c r="R228" s="141"/>
      <c r="S228" s="141"/>
      <c r="T228" s="141"/>
      <c r="U228" s="141"/>
      <c r="V228" s="58"/>
      <c r="X228" s="54"/>
      <c r="Y228" s="54"/>
      <c r="Z228" s="54"/>
    </row>
    <row r="229" spans="15:26">
      <c r="O229" s="59"/>
      <c r="P229" s="63"/>
      <c r="Q229" s="141"/>
      <c r="R229" s="141"/>
      <c r="S229" s="141"/>
      <c r="T229" s="141"/>
      <c r="U229" s="141"/>
      <c r="V229" s="58"/>
      <c r="X229" s="54"/>
      <c r="Y229" s="54"/>
      <c r="Z229" s="54"/>
    </row>
    <row r="230" spans="15:26">
      <c r="O230" s="59"/>
      <c r="P230" s="63"/>
      <c r="Q230" s="141"/>
      <c r="R230" s="141"/>
      <c r="S230" s="141"/>
      <c r="T230" s="141"/>
      <c r="U230" s="141"/>
      <c r="V230" s="58"/>
      <c r="X230" s="54"/>
      <c r="Y230" s="54"/>
      <c r="Z230" s="54"/>
    </row>
    <row r="231" spans="15:26">
      <c r="O231" s="59"/>
      <c r="P231" s="63"/>
      <c r="Q231" s="141"/>
      <c r="R231" s="141"/>
      <c r="S231" s="141"/>
      <c r="T231" s="141"/>
      <c r="U231" s="141"/>
      <c r="V231" s="58"/>
      <c r="X231" s="54"/>
      <c r="Y231" s="54"/>
      <c r="Z231" s="54"/>
    </row>
    <row r="232" spans="15:26">
      <c r="O232" s="59"/>
      <c r="P232" s="63"/>
      <c r="Q232" s="141"/>
      <c r="R232" s="141"/>
      <c r="S232" s="141"/>
      <c r="T232" s="141"/>
      <c r="U232" s="141"/>
      <c r="V232" s="58"/>
      <c r="X232" s="54"/>
      <c r="Y232" s="54"/>
      <c r="Z232" s="54"/>
    </row>
    <row r="233" spans="15:26">
      <c r="O233" s="59"/>
      <c r="P233" s="63"/>
      <c r="Q233" s="141"/>
      <c r="R233" s="141"/>
      <c r="S233" s="141"/>
      <c r="T233" s="141"/>
      <c r="U233" s="141"/>
      <c r="V233" s="58"/>
      <c r="X233" s="54"/>
      <c r="Y233" s="54"/>
      <c r="Z233" s="54"/>
    </row>
    <row r="234" spans="15:26">
      <c r="O234" s="59"/>
      <c r="P234" s="63"/>
      <c r="Q234" s="141"/>
      <c r="R234" s="141"/>
      <c r="S234" s="141"/>
      <c r="T234" s="141"/>
      <c r="U234" s="141"/>
      <c r="V234" s="58"/>
      <c r="X234" s="54"/>
      <c r="Y234" s="54"/>
      <c r="Z234" s="54"/>
    </row>
    <row r="235" spans="15:26">
      <c r="O235" s="59"/>
      <c r="P235" s="63"/>
      <c r="Q235" s="141"/>
      <c r="R235" s="141"/>
      <c r="S235" s="141"/>
      <c r="T235" s="141"/>
      <c r="U235" s="141"/>
      <c r="V235" s="58"/>
      <c r="X235" s="54"/>
      <c r="Y235" s="54"/>
      <c r="Z235" s="54"/>
    </row>
    <row r="236" spans="15:26">
      <c r="O236" s="59"/>
      <c r="P236" s="63"/>
      <c r="Q236" s="141"/>
      <c r="R236" s="141"/>
      <c r="S236" s="141"/>
      <c r="T236" s="141"/>
      <c r="U236" s="141"/>
      <c r="V236" s="58"/>
      <c r="X236" s="54"/>
      <c r="Y236" s="54"/>
      <c r="Z236" s="54"/>
    </row>
    <row r="237" spans="15:26">
      <c r="O237" s="59"/>
      <c r="P237" s="63"/>
      <c r="Q237" s="141"/>
      <c r="R237" s="141"/>
      <c r="S237" s="141"/>
      <c r="T237" s="141"/>
      <c r="U237" s="141"/>
      <c r="V237" s="58"/>
      <c r="X237" s="54"/>
      <c r="Y237" s="54"/>
      <c r="Z237" s="54"/>
    </row>
    <row r="238" spans="15:26">
      <c r="O238" s="60">
        <v>42401</v>
      </c>
      <c r="P238" s="63"/>
      <c r="Q238" s="141"/>
      <c r="R238" s="141"/>
      <c r="S238" s="141"/>
      <c r="T238" s="141"/>
      <c r="U238" s="141"/>
      <c r="V238" s="58"/>
      <c r="X238" s="54"/>
      <c r="Y238" s="54"/>
      <c r="Z238" s="54"/>
    </row>
    <row r="239" spans="15:26">
      <c r="O239" s="60"/>
      <c r="P239" s="63"/>
      <c r="Q239" s="141"/>
      <c r="R239" s="141"/>
      <c r="S239" s="141"/>
      <c r="T239" s="141"/>
      <c r="U239" s="141"/>
      <c r="V239" s="58"/>
      <c r="X239" s="54"/>
      <c r="Y239" s="54"/>
      <c r="Z239" s="54"/>
    </row>
    <row r="240" spans="15:26">
      <c r="O240" s="59"/>
      <c r="P240" s="63"/>
      <c r="Q240" s="141"/>
      <c r="R240" s="141"/>
      <c r="S240" s="141"/>
      <c r="T240" s="141"/>
      <c r="U240" s="141"/>
      <c r="V240" s="58"/>
      <c r="X240" s="54"/>
      <c r="Y240" s="54"/>
      <c r="Z240" s="54"/>
    </row>
    <row r="241" spans="15:26">
      <c r="O241" s="59"/>
      <c r="P241" s="63"/>
      <c r="Q241" s="141"/>
      <c r="R241" s="141"/>
      <c r="S241" s="141"/>
      <c r="T241" s="141"/>
      <c r="U241" s="141"/>
      <c r="V241" s="58"/>
      <c r="X241" s="54"/>
      <c r="Y241" s="54"/>
      <c r="Z241" s="54"/>
    </row>
    <row r="242" spans="15:26">
      <c r="O242" s="59"/>
      <c r="P242" s="63"/>
      <c r="Q242" s="141"/>
      <c r="R242" s="141"/>
      <c r="S242" s="141"/>
      <c r="T242" s="141"/>
      <c r="U242" s="141"/>
      <c r="V242" s="58"/>
      <c r="X242" s="54"/>
      <c r="Y242" s="54"/>
      <c r="Z242" s="54"/>
    </row>
    <row r="243" spans="15:26">
      <c r="O243" s="59"/>
      <c r="P243" s="63"/>
      <c r="Q243" s="141"/>
      <c r="R243" s="141"/>
      <c r="S243" s="141"/>
      <c r="T243" s="141"/>
      <c r="U243" s="141"/>
      <c r="V243" s="58"/>
      <c r="X243" s="54"/>
      <c r="Y243" s="54"/>
      <c r="Z243" s="54"/>
    </row>
    <row r="244" spans="15:26">
      <c r="O244" s="59"/>
      <c r="P244" s="63"/>
      <c r="Q244" s="141"/>
      <c r="R244" s="141"/>
      <c r="S244" s="141"/>
      <c r="T244" s="141"/>
      <c r="U244" s="141"/>
      <c r="V244" s="58"/>
      <c r="X244" s="54"/>
      <c r="Y244" s="54"/>
      <c r="Z244" s="54"/>
    </row>
    <row r="245" spans="15:26">
      <c r="O245" s="59"/>
      <c r="P245" s="63"/>
      <c r="Q245" s="141"/>
      <c r="R245" s="141"/>
      <c r="S245" s="141"/>
      <c r="T245" s="141"/>
      <c r="U245" s="141"/>
      <c r="V245" s="58"/>
      <c r="X245" s="54"/>
      <c r="Y245" s="54"/>
      <c r="Z245" s="54"/>
    </row>
    <row r="246" spans="15:26">
      <c r="O246" s="59"/>
      <c r="P246" s="63"/>
      <c r="Q246" s="141"/>
      <c r="R246" s="141"/>
      <c r="S246" s="141"/>
      <c r="T246" s="141"/>
      <c r="U246" s="141"/>
      <c r="V246" s="58"/>
      <c r="X246" s="54"/>
      <c r="Y246" s="54"/>
      <c r="Z246" s="54"/>
    </row>
    <row r="247" spans="15:26">
      <c r="O247" s="59"/>
      <c r="P247" s="63"/>
      <c r="Q247" s="141"/>
      <c r="R247" s="141"/>
      <c r="S247" s="141"/>
      <c r="T247" s="141"/>
      <c r="U247" s="141"/>
      <c r="V247" s="58"/>
      <c r="X247" s="54"/>
      <c r="Y247" s="54"/>
      <c r="Z247" s="54"/>
    </row>
    <row r="248" spans="15:26">
      <c r="O248" s="59"/>
      <c r="P248" s="63"/>
      <c r="Q248" s="141"/>
      <c r="R248" s="141"/>
      <c r="S248" s="141"/>
      <c r="T248" s="141"/>
      <c r="U248" s="141"/>
      <c r="V248" s="58"/>
      <c r="X248" s="54"/>
      <c r="Y248" s="54"/>
      <c r="Z248" s="54"/>
    </row>
    <row r="249" spans="15:26">
      <c r="O249" s="59"/>
      <c r="P249" s="63"/>
      <c r="Q249" s="141"/>
      <c r="R249" s="141"/>
      <c r="S249" s="141"/>
      <c r="T249" s="141"/>
      <c r="U249" s="141"/>
      <c r="V249" s="58"/>
      <c r="X249" s="54"/>
      <c r="Y249" s="54"/>
      <c r="Z249" s="54"/>
    </row>
    <row r="250" spans="15:26">
      <c r="O250" s="59"/>
      <c r="P250" s="63"/>
      <c r="Q250" s="141"/>
      <c r="R250" s="141"/>
      <c r="S250" s="141"/>
      <c r="T250" s="141"/>
      <c r="U250" s="141"/>
      <c r="V250" s="58"/>
      <c r="X250" s="54"/>
      <c r="Y250" s="54"/>
      <c r="Z250" s="54"/>
    </row>
    <row r="251" spans="15:26">
      <c r="O251" s="59"/>
      <c r="P251" s="63"/>
      <c r="Q251" s="141"/>
      <c r="R251" s="141"/>
      <c r="S251" s="141"/>
      <c r="T251" s="141"/>
      <c r="U251" s="141"/>
      <c r="V251" s="58"/>
      <c r="X251" s="54"/>
      <c r="Y251" s="54"/>
      <c r="Z251" s="54"/>
    </row>
    <row r="252" spans="15:26">
      <c r="O252" s="59"/>
      <c r="P252" s="63"/>
      <c r="Q252" s="141"/>
      <c r="R252" s="141"/>
      <c r="S252" s="141"/>
      <c r="T252" s="141"/>
      <c r="U252" s="141"/>
      <c r="V252" s="58"/>
      <c r="X252" s="54"/>
      <c r="Y252" s="54"/>
      <c r="Z252" s="54"/>
    </row>
    <row r="253" spans="15:26">
      <c r="O253" s="59"/>
      <c r="P253" s="63"/>
      <c r="Q253" s="141"/>
      <c r="R253" s="141"/>
      <c r="S253" s="141"/>
      <c r="T253" s="141"/>
      <c r="U253" s="141"/>
      <c r="V253" s="58"/>
      <c r="X253" s="54"/>
      <c r="Y253" s="54"/>
      <c r="Z253" s="54"/>
    </row>
    <row r="254" spans="15:26">
      <c r="O254" s="59"/>
      <c r="P254" s="63"/>
      <c r="Q254" s="141"/>
      <c r="R254" s="141"/>
      <c r="S254" s="141"/>
      <c r="T254" s="141"/>
      <c r="U254" s="141"/>
      <c r="V254" s="58"/>
      <c r="X254" s="54"/>
      <c r="Y254" s="54"/>
      <c r="Z254" s="54"/>
    </row>
    <row r="255" spans="15:26">
      <c r="O255" s="59"/>
      <c r="P255" s="63"/>
      <c r="Q255" s="141"/>
      <c r="R255" s="141"/>
      <c r="S255" s="141"/>
      <c r="T255" s="141"/>
      <c r="U255" s="141"/>
      <c r="V255" s="58"/>
      <c r="X255" s="54"/>
      <c r="Y255" s="54"/>
      <c r="Z255" s="54"/>
    </row>
    <row r="256" spans="15:26">
      <c r="O256" s="59"/>
      <c r="P256" s="63"/>
      <c r="Q256" s="141"/>
      <c r="R256" s="141"/>
      <c r="S256" s="141"/>
      <c r="T256" s="141"/>
      <c r="U256" s="141"/>
      <c r="V256" s="58"/>
      <c r="X256" s="54"/>
      <c r="Y256" s="54"/>
      <c r="Z256" s="54"/>
    </row>
    <row r="257" spans="15:26">
      <c r="O257" s="59"/>
      <c r="P257" s="63"/>
      <c r="Q257" s="141"/>
      <c r="R257" s="141"/>
      <c r="S257" s="141"/>
      <c r="T257" s="141"/>
      <c r="U257" s="141"/>
      <c r="V257" s="58"/>
      <c r="X257" s="54"/>
      <c r="Y257" s="54"/>
      <c r="Z257" s="54"/>
    </row>
    <row r="258" spans="15:26">
      <c r="O258" s="59"/>
      <c r="P258" s="63"/>
      <c r="Q258" s="141"/>
      <c r="R258" s="141"/>
      <c r="S258" s="141"/>
      <c r="T258" s="141"/>
      <c r="U258" s="141"/>
      <c r="V258" s="58"/>
      <c r="X258" s="54"/>
      <c r="Y258" s="54"/>
      <c r="Z258" s="54"/>
    </row>
    <row r="259" spans="15:26">
      <c r="O259" s="59"/>
      <c r="P259" s="63"/>
      <c r="Q259" s="141"/>
      <c r="R259" s="141"/>
      <c r="S259" s="141"/>
      <c r="T259" s="141"/>
      <c r="U259" s="141"/>
      <c r="V259" s="58"/>
      <c r="X259" s="54"/>
      <c r="Y259" s="54"/>
      <c r="Z259" s="54"/>
    </row>
    <row r="260" spans="15:26">
      <c r="O260" s="59"/>
      <c r="P260" s="63"/>
      <c r="Q260" s="141"/>
      <c r="R260" s="141"/>
      <c r="S260" s="141"/>
      <c r="T260" s="141"/>
      <c r="U260" s="141"/>
      <c r="V260" s="58"/>
      <c r="X260" s="54"/>
      <c r="Y260" s="54"/>
      <c r="Z260" s="54"/>
    </row>
    <row r="261" spans="15:26">
      <c r="O261" s="59"/>
      <c r="P261" s="63"/>
      <c r="Q261" s="141"/>
      <c r="R261" s="141"/>
      <c r="S261" s="141"/>
      <c r="T261" s="141"/>
      <c r="U261" s="141"/>
      <c r="V261" s="58"/>
      <c r="X261" s="54"/>
      <c r="Y261" s="54"/>
      <c r="Z261" s="54"/>
    </row>
    <row r="262" spans="15:26">
      <c r="O262" s="59"/>
      <c r="P262" s="63"/>
      <c r="Q262" s="141"/>
      <c r="R262" s="141"/>
      <c r="S262" s="141"/>
      <c r="T262" s="141"/>
      <c r="U262" s="141"/>
      <c r="V262" s="58"/>
      <c r="X262" s="54"/>
      <c r="Y262" s="54"/>
      <c r="Z262" s="54"/>
    </row>
    <row r="263" spans="15:26">
      <c r="O263" s="59"/>
      <c r="P263" s="63"/>
      <c r="Q263" s="141"/>
      <c r="R263" s="141"/>
      <c r="S263" s="141"/>
      <c r="T263" s="141"/>
      <c r="U263" s="141"/>
      <c r="V263" s="58"/>
      <c r="X263" s="54"/>
      <c r="Y263" s="54"/>
      <c r="Z263" s="54"/>
    </row>
    <row r="264" spans="15:26">
      <c r="O264" s="59"/>
      <c r="P264" s="63"/>
      <c r="Q264" s="141"/>
      <c r="R264" s="141"/>
      <c r="S264" s="141"/>
      <c r="T264" s="141"/>
      <c r="U264" s="141"/>
      <c r="V264" s="58"/>
      <c r="X264" s="54"/>
      <c r="Y264" s="54"/>
      <c r="Z264" s="54"/>
    </row>
    <row r="265" spans="15:26">
      <c r="O265" s="59"/>
      <c r="P265" s="63"/>
      <c r="Q265" s="141"/>
      <c r="R265" s="141"/>
      <c r="S265" s="141"/>
      <c r="T265" s="141"/>
      <c r="U265" s="141"/>
      <c r="V265" s="58"/>
      <c r="X265" s="54"/>
      <c r="Y265" s="54"/>
      <c r="Z265" s="54"/>
    </row>
    <row r="266" spans="15:26">
      <c r="O266" s="59"/>
      <c r="P266" s="63"/>
      <c r="Q266" s="141"/>
      <c r="R266" s="141"/>
      <c r="S266" s="141"/>
      <c r="T266" s="141"/>
      <c r="U266" s="141"/>
      <c r="V266" s="58"/>
      <c r="X266" s="54"/>
      <c r="Y266" s="54"/>
      <c r="Z266" s="54"/>
    </row>
    <row r="267" spans="15:26">
      <c r="O267" s="60">
        <v>42430</v>
      </c>
      <c r="P267" s="63"/>
      <c r="Q267" s="141"/>
      <c r="R267" s="141"/>
      <c r="S267" s="141"/>
      <c r="T267" s="141"/>
      <c r="U267" s="141"/>
      <c r="V267" s="58"/>
      <c r="X267" s="54"/>
      <c r="Y267" s="54"/>
      <c r="Z267" s="54"/>
    </row>
    <row r="268" spans="15:26">
      <c r="O268" s="59"/>
      <c r="P268" s="63"/>
      <c r="Q268" s="141"/>
      <c r="R268" s="141"/>
      <c r="S268" s="141"/>
      <c r="T268" s="141"/>
      <c r="U268" s="141"/>
      <c r="V268" s="58"/>
      <c r="X268" s="54"/>
      <c r="Y268" s="54"/>
      <c r="Z268" s="54"/>
    </row>
    <row r="269" spans="15:26">
      <c r="O269" s="60"/>
      <c r="P269" s="63"/>
      <c r="Q269" s="141"/>
      <c r="R269" s="141"/>
      <c r="S269" s="141"/>
      <c r="T269" s="141"/>
      <c r="U269" s="141"/>
      <c r="V269" s="58"/>
      <c r="X269" s="54"/>
      <c r="Y269" s="54"/>
      <c r="Z269" s="54"/>
    </row>
    <row r="270" spans="15:26">
      <c r="O270" s="60"/>
      <c r="P270" s="63"/>
      <c r="Q270" s="141"/>
      <c r="R270" s="141"/>
      <c r="S270" s="141"/>
      <c r="T270" s="141"/>
      <c r="U270" s="141"/>
      <c r="V270" s="58"/>
      <c r="X270" s="54"/>
      <c r="Y270" s="54"/>
      <c r="Z270" s="54"/>
    </row>
    <row r="271" spans="15:26">
      <c r="O271" s="59"/>
      <c r="P271" s="63"/>
      <c r="Q271" s="141"/>
      <c r="R271" s="141"/>
      <c r="S271" s="141"/>
      <c r="T271" s="141"/>
      <c r="U271" s="141"/>
      <c r="V271" s="58"/>
      <c r="X271" s="54"/>
      <c r="Y271" s="54"/>
      <c r="Z271" s="54"/>
    </row>
    <row r="272" spans="15:26">
      <c r="O272" s="59"/>
      <c r="P272" s="63"/>
      <c r="Q272" s="141"/>
      <c r="R272" s="141"/>
      <c r="S272" s="141"/>
      <c r="T272" s="141"/>
      <c r="U272" s="141"/>
      <c r="V272" s="58"/>
      <c r="X272" s="54"/>
      <c r="Y272" s="54"/>
      <c r="Z272" s="54"/>
    </row>
    <row r="273" spans="15:26">
      <c r="O273" s="59"/>
      <c r="P273" s="63"/>
      <c r="Q273" s="141"/>
      <c r="R273" s="141"/>
      <c r="S273" s="141"/>
      <c r="T273" s="141"/>
      <c r="U273" s="141"/>
      <c r="V273" s="58"/>
      <c r="X273" s="54"/>
      <c r="Y273" s="54"/>
      <c r="Z273" s="54"/>
    </row>
    <row r="274" spans="15:26">
      <c r="O274" s="59"/>
      <c r="P274" s="63"/>
      <c r="Q274" s="141"/>
      <c r="R274" s="141"/>
      <c r="S274" s="141"/>
      <c r="T274" s="141"/>
      <c r="U274" s="141"/>
      <c r="V274" s="58"/>
      <c r="X274" s="54"/>
      <c r="Y274" s="54"/>
      <c r="Z274" s="54"/>
    </row>
    <row r="275" spans="15:26">
      <c r="O275" s="59"/>
      <c r="P275" s="63"/>
      <c r="Q275" s="141"/>
      <c r="R275" s="141"/>
      <c r="S275" s="141"/>
      <c r="T275" s="141"/>
      <c r="U275" s="141"/>
      <c r="V275" s="58"/>
      <c r="X275" s="54"/>
      <c r="Y275" s="54"/>
      <c r="Z275" s="54"/>
    </row>
    <row r="276" spans="15:26">
      <c r="O276" s="59"/>
      <c r="P276" s="63"/>
      <c r="Q276" s="141"/>
      <c r="R276" s="141"/>
      <c r="S276" s="141"/>
      <c r="T276" s="141"/>
      <c r="U276" s="141"/>
      <c r="V276" s="58"/>
      <c r="X276" s="54"/>
      <c r="Y276" s="54"/>
      <c r="Z276" s="54"/>
    </row>
    <row r="277" spans="15:26">
      <c r="O277" s="59"/>
      <c r="P277" s="63"/>
      <c r="Q277" s="141"/>
      <c r="R277" s="141"/>
      <c r="S277" s="141"/>
      <c r="T277" s="141"/>
      <c r="U277" s="141"/>
      <c r="V277" s="58"/>
      <c r="X277" s="54"/>
      <c r="Y277" s="54"/>
      <c r="Z277" s="54"/>
    </row>
    <row r="278" spans="15:26">
      <c r="O278" s="59"/>
      <c r="P278" s="63"/>
      <c r="Q278" s="141"/>
      <c r="R278" s="141"/>
      <c r="S278" s="141"/>
      <c r="T278" s="141"/>
      <c r="U278" s="141"/>
      <c r="V278" s="58"/>
      <c r="X278" s="54"/>
      <c r="Y278" s="54"/>
      <c r="Z278" s="54"/>
    </row>
    <row r="279" spans="15:26">
      <c r="O279" s="59"/>
      <c r="P279" s="63"/>
      <c r="Q279" s="141"/>
      <c r="R279" s="141"/>
      <c r="S279" s="141"/>
      <c r="T279" s="141"/>
      <c r="U279" s="141"/>
      <c r="V279" s="58"/>
      <c r="X279" s="54"/>
      <c r="Y279" s="54"/>
      <c r="Z279" s="54"/>
    </row>
    <row r="280" spans="15:26">
      <c r="O280" s="59"/>
      <c r="P280" s="63"/>
      <c r="Q280" s="141"/>
      <c r="R280" s="141"/>
      <c r="S280" s="141"/>
      <c r="T280" s="141"/>
      <c r="U280" s="141"/>
      <c r="V280" s="58"/>
      <c r="X280" s="54"/>
      <c r="Y280" s="54"/>
      <c r="Z280" s="54"/>
    </row>
    <row r="281" spans="15:26">
      <c r="O281" s="59"/>
      <c r="P281" s="63"/>
      <c r="Q281" s="141"/>
      <c r="R281" s="141"/>
      <c r="S281" s="141"/>
      <c r="T281" s="141"/>
      <c r="U281" s="141"/>
      <c r="V281" s="58"/>
      <c r="X281" s="54"/>
      <c r="Y281" s="54"/>
      <c r="Z281" s="54"/>
    </row>
    <row r="282" spans="15:26">
      <c r="O282" s="59"/>
      <c r="P282" s="63"/>
      <c r="Q282" s="141"/>
      <c r="R282" s="141"/>
      <c r="S282" s="141"/>
      <c r="T282" s="141"/>
      <c r="U282" s="141"/>
      <c r="V282" s="58"/>
      <c r="X282" s="54"/>
      <c r="Y282" s="54"/>
      <c r="Z282" s="54"/>
    </row>
    <row r="283" spans="15:26">
      <c r="O283" s="59"/>
      <c r="P283" s="63"/>
      <c r="Q283" s="141"/>
      <c r="R283" s="141"/>
      <c r="S283" s="141"/>
      <c r="T283" s="141"/>
      <c r="U283" s="141"/>
      <c r="V283" s="58"/>
      <c r="X283" s="54"/>
      <c r="Y283" s="54"/>
      <c r="Z283" s="54"/>
    </row>
    <row r="284" spans="15:26">
      <c r="O284" s="59"/>
      <c r="P284" s="63"/>
      <c r="Q284" s="141"/>
      <c r="R284" s="141"/>
      <c r="S284" s="141"/>
      <c r="T284" s="141"/>
      <c r="U284" s="141"/>
      <c r="V284" s="58"/>
      <c r="X284" s="54"/>
      <c r="Y284" s="54"/>
      <c r="Z284" s="54"/>
    </row>
    <row r="285" spans="15:26">
      <c r="O285" s="59"/>
      <c r="P285" s="63"/>
      <c r="Q285" s="141"/>
      <c r="R285" s="141"/>
      <c r="S285" s="141"/>
      <c r="T285" s="141"/>
      <c r="U285" s="141"/>
      <c r="V285" s="58"/>
      <c r="X285" s="54"/>
      <c r="Y285" s="54"/>
      <c r="Z285" s="54"/>
    </row>
    <row r="286" spans="15:26">
      <c r="O286" s="59"/>
      <c r="P286" s="63"/>
      <c r="Q286" s="141"/>
      <c r="R286" s="141"/>
      <c r="S286" s="141"/>
      <c r="T286" s="141"/>
      <c r="U286" s="141"/>
      <c r="V286" s="58"/>
      <c r="X286" s="54"/>
      <c r="Y286" s="54"/>
      <c r="Z286" s="54"/>
    </row>
    <row r="287" spans="15:26">
      <c r="O287" s="59"/>
      <c r="P287" s="63"/>
      <c r="Q287" s="141"/>
      <c r="R287" s="141"/>
      <c r="S287" s="141"/>
      <c r="T287" s="141"/>
      <c r="U287" s="141"/>
      <c r="V287" s="58"/>
      <c r="X287" s="54"/>
      <c r="Y287" s="54"/>
      <c r="Z287" s="54"/>
    </row>
    <row r="288" spans="15:26">
      <c r="O288" s="59"/>
      <c r="P288" s="63"/>
      <c r="Q288" s="141"/>
      <c r="R288" s="141"/>
      <c r="S288" s="141"/>
      <c r="T288" s="141"/>
      <c r="U288" s="141"/>
      <c r="V288" s="58"/>
      <c r="X288" s="54"/>
      <c r="Y288" s="54"/>
      <c r="Z288" s="54"/>
    </row>
    <row r="289" spans="15:26">
      <c r="O289" s="59"/>
      <c r="P289" s="63"/>
      <c r="Q289" s="141"/>
      <c r="R289" s="141"/>
      <c r="S289" s="141"/>
      <c r="T289" s="141"/>
      <c r="U289" s="141"/>
      <c r="V289" s="58"/>
      <c r="X289" s="54"/>
      <c r="Y289" s="54"/>
      <c r="Z289" s="54"/>
    </row>
    <row r="290" spans="15:26">
      <c r="O290" s="59"/>
      <c r="P290" s="63"/>
      <c r="Q290" s="141"/>
      <c r="R290" s="141"/>
      <c r="S290" s="141"/>
      <c r="T290" s="141"/>
      <c r="U290" s="141"/>
      <c r="V290" s="58"/>
      <c r="X290" s="54"/>
      <c r="Y290" s="54"/>
      <c r="Z290" s="54"/>
    </row>
    <row r="291" spans="15:26">
      <c r="O291" s="59"/>
      <c r="P291" s="63"/>
      <c r="Q291" s="141"/>
      <c r="R291" s="141"/>
      <c r="S291" s="141"/>
      <c r="T291" s="141"/>
      <c r="U291" s="141"/>
      <c r="V291" s="58"/>
      <c r="X291" s="54"/>
      <c r="Y291" s="54"/>
      <c r="Z291" s="54"/>
    </row>
    <row r="292" spans="15:26">
      <c r="O292" s="59"/>
      <c r="P292" s="63"/>
      <c r="Q292" s="141"/>
      <c r="R292" s="141"/>
      <c r="S292" s="141"/>
      <c r="T292" s="141"/>
      <c r="U292" s="141"/>
      <c r="V292" s="58"/>
      <c r="X292" s="54"/>
      <c r="Y292" s="54"/>
      <c r="Z292" s="54"/>
    </row>
    <row r="293" spans="15:26">
      <c r="O293" s="59"/>
      <c r="P293" s="63"/>
      <c r="Q293" s="141"/>
      <c r="R293" s="141"/>
      <c r="S293" s="141"/>
      <c r="T293" s="141"/>
      <c r="U293" s="141"/>
      <c r="V293" s="58"/>
      <c r="X293" s="54"/>
      <c r="Y293" s="54"/>
      <c r="Z293" s="54"/>
    </row>
    <row r="294" spans="15:26">
      <c r="O294" s="59"/>
      <c r="P294" s="63"/>
      <c r="Q294" s="141"/>
      <c r="R294" s="141"/>
      <c r="S294" s="141"/>
      <c r="T294" s="141"/>
      <c r="U294" s="141"/>
      <c r="V294" s="58"/>
      <c r="X294" s="54"/>
      <c r="Y294" s="54"/>
      <c r="Z294" s="54"/>
    </row>
    <row r="295" spans="15:26">
      <c r="O295" s="59"/>
      <c r="P295" s="63"/>
      <c r="Q295" s="141"/>
      <c r="R295" s="141"/>
      <c r="S295" s="141"/>
      <c r="T295" s="141"/>
      <c r="U295" s="141"/>
      <c r="V295" s="58"/>
      <c r="X295" s="54"/>
      <c r="Y295" s="54"/>
      <c r="Z295" s="54"/>
    </row>
    <row r="296" spans="15:26">
      <c r="O296" s="59"/>
      <c r="P296" s="63"/>
      <c r="Q296" s="141"/>
      <c r="R296" s="141"/>
      <c r="S296" s="141"/>
      <c r="T296" s="141"/>
      <c r="U296" s="141"/>
      <c r="V296" s="58"/>
      <c r="X296" s="54"/>
      <c r="Y296" s="54"/>
      <c r="Z296" s="54"/>
    </row>
    <row r="297" spans="15:26">
      <c r="O297" s="60"/>
      <c r="P297" s="63"/>
      <c r="Q297" s="141"/>
      <c r="R297" s="141"/>
      <c r="S297" s="141"/>
      <c r="T297" s="141"/>
      <c r="U297" s="141"/>
      <c r="V297" s="58"/>
      <c r="X297" s="54"/>
      <c r="Y297" s="54"/>
      <c r="Z297" s="54"/>
    </row>
    <row r="298" spans="15:26">
      <c r="O298" s="60">
        <v>42461</v>
      </c>
      <c r="P298" s="63"/>
      <c r="Q298" s="141"/>
      <c r="R298" s="141"/>
      <c r="S298" s="141"/>
      <c r="T298" s="141"/>
      <c r="U298" s="141"/>
      <c r="V298" s="58"/>
      <c r="X298" s="54"/>
      <c r="Y298" s="54"/>
      <c r="Z298" s="54"/>
    </row>
    <row r="299" spans="15:26">
      <c r="O299" s="59"/>
      <c r="P299" s="63"/>
      <c r="Q299" s="141"/>
      <c r="R299" s="141"/>
      <c r="S299" s="141"/>
      <c r="T299" s="141"/>
      <c r="U299" s="141"/>
      <c r="V299" s="58"/>
      <c r="X299" s="54"/>
      <c r="Y299" s="54"/>
      <c r="Z299" s="54"/>
    </row>
    <row r="300" spans="15:26">
      <c r="O300" s="59"/>
      <c r="P300" s="63"/>
      <c r="Q300" s="141"/>
      <c r="R300" s="141"/>
      <c r="S300" s="141"/>
      <c r="T300" s="141"/>
      <c r="U300" s="141"/>
      <c r="V300" s="58"/>
      <c r="X300" s="54"/>
      <c r="Y300" s="54"/>
      <c r="Z300" s="54"/>
    </row>
    <row r="301" spans="15:26">
      <c r="O301" s="59"/>
      <c r="P301" s="63"/>
      <c r="Q301" s="141"/>
      <c r="R301" s="141"/>
      <c r="S301" s="141"/>
      <c r="T301" s="141"/>
      <c r="U301" s="141"/>
      <c r="V301" s="58"/>
      <c r="X301" s="54"/>
      <c r="Y301" s="54"/>
      <c r="Z301" s="54"/>
    </row>
    <row r="302" spans="15:26">
      <c r="O302" s="59"/>
      <c r="P302" s="63"/>
      <c r="Q302" s="141"/>
      <c r="R302" s="141"/>
      <c r="S302" s="141"/>
      <c r="T302" s="141"/>
      <c r="U302" s="141"/>
      <c r="V302" s="58"/>
      <c r="X302" s="54"/>
      <c r="Y302" s="54"/>
      <c r="Z302" s="54"/>
    </row>
    <row r="303" spans="15:26">
      <c r="O303" s="59"/>
      <c r="P303" s="63"/>
      <c r="Q303" s="141"/>
      <c r="R303" s="141"/>
      <c r="S303" s="141"/>
      <c r="T303" s="141"/>
      <c r="U303" s="141"/>
      <c r="V303" s="58"/>
      <c r="X303" s="54"/>
      <c r="Y303" s="54"/>
      <c r="Z303" s="54"/>
    </row>
    <row r="304" spans="15:26">
      <c r="O304" s="59"/>
      <c r="P304" s="63"/>
      <c r="Q304" s="141"/>
      <c r="R304" s="141"/>
      <c r="S304" s="141"/>
      <c r="T304" s="141"/>
      <c r="U304" s="141"/>
      <c r="V304" s="58"/>
      <c r="X304" s="54"/>
      <c r="Y304" s="54"/>
      <c r="Z304" s="54"/>
    </row>
    <row r="305" spans="15:26">
      <c r="O305" s="59"/>
      <c r="P305" s="63"/>
      <c r="Q305" s="141"/>
      <c r="R305" s="141"/>
      <c r="S305" s="141"/>
      <c r="T305" s="141"/>
      <c r="U305" s="141"/>
      <c r="V305" s="58"/>
      <c r="X305" s="54"/>
      <c r="Y305" s="54"/>
      <c r="Z305" s="54"/>
    </row>
    <row r="306" spans="15:26">
      <c r="O306" s="59"/>
      <c r="P306" s="63"/>
      <c r="Q306" s="141"/>
      <c r="R306" s="141"/>
      <c r="S306" s="141"/>
      <c r="T306" s="141"/>
      <c r="U306" s="141"/>
      <c r="V306" s="58"/>
      <c r="X306" s="54"/>
      <c r="Y306" s="54"/>
      <c r="Z306" s="54"/>
    </row>
    <row r="307" spans="15:26">
      <c r="O307" s="59"/>
      <c r="P307" s="63"/>
      <c r="Q307" s="141"/>
      <c r="R307" s="141"/>
      <c r="S307" s="141"/>
      <c r="T307" s="141"/>
      <c r="U307" s="141"/>
      <c r="V307" s="58"/>
      <c r="X307" s="54"/>
      <c r="Y307" s="54"/>
      <c r="Z307" s="54"/>
    </row>
    <row r="308" spans="15:26">
      <c r="O308" s="59"/>
      <c r="P308" s="63"/>
      <c r="Q308" s="141"/>
      <c r="R308" s="141"/>
      <c r="S308" s="141"/>
      <c r="T308" s="141"/>
      <c r="U308" s="141"/>
      <c r="V308" s="58"/>
      <c r="X308" s="54"/>
      <c r="Y308" s="54"/>
      <c r="Z308" s="54"/>
    </row>
    <row r="309" spans="15:26">
      <c r="O309" s="59"/>
      <c r="P309" s="63"/>
      <c r="Q309" s="141"/>
      <c r="R309" s="141"/>
      <c r="S309" s="141"/>
      <c r="T309" s="141"/>
      <c r="U309" s="141"/>
      <c r="V309" s="58"/>
      <c r="X309" s="54"/>
      <c r="Y309" s="54"/>
      <c r="Z309" s="54"/>
    </row>
    <row r="310" spans="15:26">
      <c r="O310" s="59"/>
      <c r="P310" s="63"/>
      <c r="Q310" s="141"/>
      <c r="R310" s="141"/>
      <c r="S310" s="141"/>
      <c r="T310" s="141"/>
      <c r="U310" s="141"/>
      <c r="V310" s="58"/>
      <c r="X310" s="54"/>
      <c r="Y310" s="54"/>
      <c r="Z310" s="54"/>
    </row>
    <row r="311" spans="15:26">
      <c r="O311" s="59"/>
      <c r="P311" s="63"/>
      <c r="Q311" s="141"/>
      <c r="R311" s="141"/>
      <c r="S311" s="141"/>
      <c r="T311" s="141"/>
      <c r="U311" s="141"/>
      <c r="V311" s="58"/>
      <c r="X311" s="54"/>
      <c r="Y311" s="54"/>
      <c r="Z311" s="54"/>
    </row>
    <row r="312" spans="15:26">
      <c r="O312" s="59"/>
      <c r="P312" s="63"/>
      <c r="Q312" s="141"/>
      <c r="R312" s="141"/>
      <c r="S312" s="141"/>
      <c r="T312" s="141"/>
      <c r="U312" s="141"/>
      <c r="V312" s="58"/>
      <c r="X312" s="54"/>
      <c r="Y312" s="54"/>
      <c r="Z312" s="54"/>
    </row>
    <row r="313" spans="15:26">
      <c r="O313" s="59"/>
      <c r="P313" s="63"/>
      <c r="Q313" s="141"/>
      <c r="R313" s="141"/>
      <c r="S313" s="141"/>
      <c r="T313" s="141"/>
      <c r="U313" s="141"/>
      <c r="V313" s="58"/>
      <c r="X313" s="54"/>
      <c r="Y313" s="54"/>
      <c r="Z313" s="54"/>
    </row>
    <row r="314" spans="15:26">
      <c r="O314" s="59"/>
      <c r="P314" s="63"/>
      <c r="Q314" s="141"/>
      <c r="R314" s="141"/>
      <c r="S314" s="141"/>
      <c r="T314" s="141"/>
      <c r="U314" s="141"/>
      <c r="V314" s="58"/>
      <c r="X314" s="54"/>
      <c r="Y314" s="54"/>
      <c r="Z314" s="54"/>
    </row>
    <row r="315" spans="15:26">
      <c r="O315" s="59"/>
      <c r="P315" s="63"/>
      <c r="Q315" s="141"/>
      <c r="R315" s="141"/>
      <c r="S315" s="141"/>
      <c r="T315" s="141"/>
      <c r="U315" s="141"/>
      <c r="V315" s="58"/>
      <c r="X315" s="54"/>
      <c r="Y315" s="54"/>
      <c r="Z315" s="54"/>
    </row>
    <row r="316" spans="15:26">
      <c r="O316" s="59"/>
      <c r="P316" s="63"/>
      <c r="Q316" s="141"/>
      <c r="R316" s="141"/>
      <c r="S316" s="141"/>
      <c r="T316" s="141"/>
      <c r="U316" s="141"/>
      <c r="V316" s="58"/>
      <c r="X316" s="54"/>
      <c r="Y316" s="54"/>
      <c r="Z316" s="54"/>
    </row>
    <row r="317" spans="15:26">
      <c r="O317" s="59"/>
      <c r="P317" s="63"/>
      <c r="Q317" s="141"/>
      <c r="R317" s="141"/>
      <c r="S317" s="141"/>
      <c r="T317" s="141"/>
      <c r="U317" s="141"/>
      <c r="V317" s="58"/>
      <c r="X317" s="54"/>
      <c r="Y317" s="54"/>
      <c r="Z317" s="54"/>
    </row>
    <row r="318" spans="15:26">
      <c r="O318" s="59"/>
      <c r="P318" s="63"/>
      <c r="Q318" s="141"/>
      <c r="R318" s="141"/>
      <c r="S318" s="141"/>
      <c r="T318" s="141"/>
      <c r="U318" s="141"/>
      <c r="V318" s="58"/>
      <c r="X318" s="54"/>
      <c r="Y318" s="54"/>
      <c r="Z318" s="54"/>
    </row>
    <row r="319" spans="15:26">
      <c r="O319" s="59"/>
      <c r="P319" s="63"/>
      <c r="Q319" s="141"/>
      <c r="R319" s="141"/>
      <c r="S319" s="141"/>
      <c r="T319" s="141"/>
      <c r="U319" s="141"/>
      <c r="V319" s="58"/>
      <c r="X319" s="54"/>
      <c r="Y319" s="54"/>
      <c r="Z319" s="54"/>
    </row>
    <row r="320" spans="15:26">
      <c r="O320" s="59"/>
      <c r="P320" s="63"/>
      <c r="Q320" s="141"/>
      <c r="R320" s="141"/>
      <c r="S320" s="141"/>
      <c r="T320" s="141"/>
      <c r="U320" s="141"/>
      <c r="V320" s="58"/>
      <c r="X320" s="54"/>
      <c r="Y320" s="54"/>
      <c r="Z320" s="54"/>
    </row>
    <row r="321" spans="15:26">
      <c r="O321" s="59"/>
      <c r="P321" s="63"/>
      <c r="Q321" s="141"/>
      <c r="R321" s="141"/>
      <c r="S321" s="141"/>
      <c r="T321" s="141"/>
      <c r="U321" s="141"/>
      <c r="V321" s="58"/>
      <c r="X321" s="54"/>
      <c r="Y321" s="54"/>
      <c r="Z321" s="54"/>
    </row>
    <row r="322" spans="15:26">
      <c r="O322" s="59"/>
      <c r="P322" s="63"/>
      <c r="Q322" s="141"/>
      <c r="R322" s="141"/>
      <c r="S322" s="141"/>
      <c r="T322" s="141"/>
      <c r="U322" s="141"/>
      <c r="V322" s="58"/>
      <c r="X322" s="54"/>
      <c r="Y322" s="54"/>
      <c r="Z322" s="54"/>
    </row>
    <row r="323" spans="15:26">
      <c r="O323" s="59"/>
      <c r="P323" s="63"/>
      <c r="Q323" s="141"/>
      <c r="R323" s="141"/>
      <c r="S323" s="141"/>
      <c r="T323" s="141"/>
      <c r="U323" s="141"/>
      <c r="V323" s="58"/>
      <c r="X323" s="54"/>
      <c r="Y323" s="54"/>
      <c r="Z323" s="54"/>
    </row>
    <row r="324" spans="15:26">
      <c r="O324" s="59"/>
      <c r="P324" s="63"/>
      <c r="Q324" s="141"/>
      <c r="R324" s="141"/>
      <c r="S324" s="141"/>
      <c r="T324" s="141"/>
      <c r="U324" s="141"/>
      <c r="V324" s="58"/>
      <c r="X324" s="54"/>
      <c r="Y324" s="54"/>
      <c r="Z324" s="54"/>
    </row>
    <row r="325" spans="15:26">
      <c r="O325" s="59"/>
      <c r="P325" s="63"/>
      <c r="Q325" s="141"/>
      <c r="R325" s="141"/>
      <c r="S325" s="141"/>
      <c r="T325" s="141"/>
      <c r="U325" s="141"/>
      <c r="V325" s="58"/>
      <c r="X325" s="54"/>
      <c r="Y325" s="54"/>
      <c r="Z325" s="54"/>
    </row>
    <row r="326" spans="15:26">
      <c r="O326" s="59"/>
      <c r="P326" s="63"/>
      <c r="Q326" s="141"/>
      <c r="R326" s="141"/>
      <c r="S326" s="141"/>
      <c r="T326" s="141"/>
      <c r="U326" s="141"/>
      <c r="V326" s="58"/>
      <c r="X326" s="54"/>
      <c r="Y326" s="54"/>
      <c r="Z326" s="54"/>
    </row>
    <row r="327" spans="15:26">
      <c r="O327" s="59"/>
      <c r="P327" s="63"/>
      <c r="Q327" s="141"/>
      <c r="R327" s="141"/>
      <c r="S327" s="141"/>
      <c r="T327" s="141"/>
      <c r="U327" s="141"/>
      <c r="V327" s="58"/>
      <c r="X327" s="54"/>
      <c r="Y327" s="54"/>
      <c r="Z327" s="54"/>
    </row>
    <row r="328" spans="15:26">
      <c r="O328" s="60">
        <v>42491</v>
      </c>
      <c r="P328" s="63"/>
      <c r="Q328" s="141"/>
      <c r="R328" s="141"/>
      <c r="S328" s="141"/>
      <c r="T328" s="141"/>
      <c r="U328" s="141"/>
      <c r="V328" s="58"/>
      <c r="X328" s="54"/>
      <c r="Y328" s="54"/>
      <c r="Z328" s="54"/>
    </row>
    <row r="329" spans="15:26">
      <c r="O329" s="60"/>
      <c r="P329" s="63"/>
      <c r="Q329" s="141"/>
      <c r="R329" s="141"/>
      <c r="S329" s="141"/>
      <c r="T329" s="141"/>
      <c r="U329" s="141"/>
      <c r="V329" s="58"/>
      <c r="X329" s="54"/>
      <c r="Y329" s="54"/>
      <c r="Z329" s="54"/>
    </row>
    <row r="330" spans="15:26">
      <c r="O330" s="59"/>
      <c r="P330" s="63"/>
      <c r="Q330" s="141"/>
      <c r="R330" s="141"/>
      <c r="S330" s="141"/>
      <c r="T330" s="141"/>
      <c r="U330" s="141"/>
      <c r="V330" s="58"/>
      <c r="X330" s="54"/>
      <c r="Y330" s="54"/>
      <c r="Z330" s="54"/>
    </row>
    <row r="331" spans="15:26">
      <c r="O331" s="59"/>
      <c r="P331" s="63"/>
      <c r="Q331" s="141"/>
      <c r="R331" s="141"/>
      <c r="S331" s="141"/>
      <c r="T331" s="141"/>
      <c r="U331" s="141"/>
      <c r="V331" s="58"/>
      <c r="X331" s="54"/>
      <c r="Y331" s="54"/>
      <c r="Z331" s="54"/>
    </row>
    <row r="332" spans="15:26">
      <c r="O332" s="59"/>
      <c r="P332" s="63"/>
      <c r="Q332" s="141"/>
      <c r="R332" s="141"/>
      <c r="S332" s="141"/>
      <c r="T332" s="141"/>
      <c r="U332" s="141"/>
      <c r="V332" s="58"/>
      <c r="X332" s="54"/>
      <c r="Y332" s="54"/>
      <c r="Z332" s="54"/>
    </row>
    <row r="333" spans="15:26">
      <c r="O333" s="59"/>
      <c r="P333" s="63"/>
      <c r="Q333" s="141"/>
      <c r="R333" s="141"/>
      <c r="S333" s="141"/>
      <c r="T333" s="141"/>
      <c r="U333" s="141"/>
      <c r="V333" s="58"/>
      <c r="X333" s="54"/>
      <c r="Y333" s="54"/>
      <c r="Z333" s="54"/>
    </row>
    <row r="334" spans="15:26">
      <c r="O334" s="59"/>
      <c r="P334" s="63"/>
      <c r="Q334" s="141"/>
      <c r="R334" s="141"/>
      <c r="S334" s="141"/>
      <c r="T334" s="141"/>
      <c r="U334" s="141"/>
      <c r="V334" s="58"/>
      <c r="X334" s="54"/>
      <c r="Y334" s="54"/>
      <c r="Z334" s="54"/>
    </row>
    <row r="335" spans="15:26">
      <c r="O335" s="59"/>
      <c r="P335" s="63"/>
      <c r="Q335" s="141"/>
      <c r="R335" s="141"/>
      <c r="S335" s="141"/>
      <c r="T335" s="141"/>
      <c r="U335" s="141"/>
      <c r="V335" s="58"/>
      <c r="X335" s="54"/>
      <c r="Y335" s="54"/>
      <c r="Z335" s="54"/>
    </row>
    <row r="336" spans="15:26">
      <c r="O336" s="59"/>
      <c r="P336" s="63"/>
      <c r="Q336" s="141"/>
      <c r="R336" s="141"/>
      <c r="S336" s="141"/>
      <c r="T336" s="141"/>
      <c r="U336" s="141"/>
      <c r="V336" s="58"/>
      <c r="X336" s="54"/>
      <c r="Y336" s="54"/>
      <c r="Z336" s="54"/>
    </row>
    <row r="337" spans="15:26">
      <c r="O337" s="59"/>
      <c r="P337" s="63"/>
      <c r="Q337" s="141"/>
      <c r="R337" s="141"/>
      <c r="S337" s="141"/>
      <c r="T337" s="141"/>
      <c r="U337" s="141"/>
      <c r="V337" s="58"/>
      <c r="X337" s="54"/>
      <c r="Y337" s="54"/>
      <c r="Z337" s="54"/>
    </row>
    <row r="338" spans="15:26">
      <c r="O338" s="59"/>
      <c r="P338" s="63"/>
      <c r="Q338" s="141"/>
      <c r="R338" s="141"/>
      <c r="S338" s="141"/>
      <c r="T338" s="141"/>
      <c r="U338" s="141"/>
      <c r="V338" s="58"/>
      <c r="X338" s="54"/>
      <c r="Y338" s="54"/>
      <c r="Z338" s="54"/>
    </row>
    <row r="339" spans="15:26">
      <c r="O339" s="59"/>
      <c r="P339" s="63"/>
      <c r="Q339" s="141"/>
      <c r="R339" s="141"/>
      <c r="S339" s="141"/>
      <c r="T339" s="141"/>
      <c r="U339" s="141"/>
      <c r="V339" s="58"/>
      <c r="X339" s="54"/>
      <c r="Y339" s="54"/>
      <c r="Z339" s="54"/>
    </row>
    <row r="340" spans="15:26">
      <c r="O340" s="59"/>
      <c r="P340" s="63"/>
      <c r="Q340" s="141"/>
      <c r="R340" s="141"/>
      <c r="S340" s="141"/>
      <c r="T340" s="141"/>
      <c r="U340" s="141"/>
      <c r="V340" s="58"/>
      <c r="X340" s="54"/>
      <c r="Y340" s="54"/>
      <c r="Z340" s="54"/>
    </row>
    <row r="341" spans="15:26">
      <c r="O341" s="59"/>
      <c r="P341" s="63"/>
      <c r="Q341" s="141"/>
      <c r="R341" s="141"/>
      <c r="S341" s="141"/>
      <c r="T341" s="141"/>
      <c r="U341" s="141"/>
      <c r="V341" s="58"/>
      <c r="X341" s="54"/>
      <c r="Y341" s="54"/>
      <c r="Z341" s="54"/>
    </row>
    <row r="342" spans="15:26">
      <c r="O342" s="59"/>
      <c r="P342" s="63"/>
      <c r="Q342" s="141"/>
      <c r="R342" s="141"/>
      <c r="S342" s="141"/>
      <c r="T342" s="141"/>
      <c r="U342" s="141"/>
      <c r="V342" s="58"/>
      <c r="X342" s="54"/>
      <c r="Y342" s="54"/>
      <c r="Z342" s="54"/>
    </row>
    <row r="343" spans="15:26">
      <c r="O343" s="59"/>
      <c r="P343" s="63"/>
      <c r="Q343" s="141"/>
      <c r="R343" s="141"/>
      <c r="S343" s="141"/>
      <c r="T343" s="141"/>
      <c r="U343" s="141"/>
      <c r="V343" s="58"/>
      <c r="X343" s="54"/>
      <c r="Y343" s="54"/>
      <c r="Z343" s="54"/>
    </row>
    <row r="344" spans="15:26">
      <c r="O344" s="59"/>
      <c r="P344" s="63"/>
      <c r="Q344" s="141"/>
      <c r="R344" s="141"/>
      <c r="S344" s="141"/>
      <c r="T344" s="141"/>
      <c r="U344" s="141"/>
      <c r="V344" s="58"/>
      <c r="X344" s="54"/>
      <c r="Y344" s="54"/>
      <c r="Z344" s="54"/>
    </row>
    <row r="345" spans="15:26">
      <c r="O345" s="59"/>
      <c r="P345" s="63"/>
      <c r="Q345" s="141"/>
      <c r="R345" s="141"/>
      <c r="S345" s="141"/>
      <c r="T345" s="141"/>
      <c r="U345" s="141"/>
      <c r="V345" s="58"/>
      <c r="X345" s="54"/>
      <c r="Y345" s="54"/>
      <c r="Z345" s="54"/>
    </row>
    <row r="346" spans="15:26">
      <c r="O346" s="59"/>
      <c r="P346" s="63"/>
      <c r="Q346" s="141"/>
      <c r="R346" s="141"/>
      <c r="S346" s="141"/>
      <c r="T346" s="141"/>
      <c r="U346" s="141"/>
      <c r="V346" s="58"/>
      <c r="X346" s="54"/>
      <c r="Y346" s="54"/>
      <c r="Z346" s="54"/>
    </row>
    <row r="347" spans="15:26">
      <c r="O347" s="59"/>
      <c r="P347" s="63"/>
      <c r="Q347" s="141"/>
      <c r="R347" s="141"/>
      <c r="S347" s="141"/>
      <c r="T347" s="141"/>
      <c r="U347" s="141"/>
      <c r="V347" s="58"/>
      <c r="X347" s="54"/>
      <c r="Y347" s="54"/>
      <c r="Z347" s="54"/>
    </row>
    <row r="348" spans="15:26">
      <c r="O348" s="59"/>
      <c r="P348" s="63"/>
      <c r="Q348" s="141"/>
      <c r="R348" s="141"/>
      <c r="S348" s="141"/>
      <c r="T348" s="141"/>
      <c r="U348" s="141"/>
      <c r="V348" s="58"/>
      <c r="X348" s="54"/>
      <c r="Y348" s="54"/>
      <c r="Z348" s="54"/>
    </row>
    <row r="349" spans="15:26">
      <c r="O349" s="59"/>
      <c r="P349" s="63"/>
      <c r="Q349" s="141"/>
      <c r="R349" s="141"/>
      <c r="S349" s="141"/>
      <c r="T349" s="141"/>
      <c r="U349" s="141"/>
      <c r="V349" s="58"/>
      <c r="X349" s="54"/>
      <c r="Y349" s="54"/>
      <c r="Z349" s="54"/>
    </row>
    <row r="350" spans="15:26">
      <c r="O350" s="59"/>
      <c r="P350" s="63"/>
      <c r="Q350" s="141"/>
      <c r="R350" s="141"/>
      <c r="S350" s="141"/>
      <c r="T350" s="141"/>
      <c r="U350" s="141"/>
      <c r="V350" s="58"/>
      <c r="X350" s="54"/>
      <c r="Y350" s="54"/>
      <c r="Z350" s="54"/>
    </row>
    <row r="351" spans="15:26">
      <c r="O351" s="59"/>
      <c r="P351" s="63"/>
      <c r="Q351" s="141"/>
      <c r="R351" s="141"/>
      <c r="S351" s="141"/>
      <c r="T351" s="141"/>
      <c r="U351" s="141"/>
      <c r="V351" s="58"/>
      <c r="X351" s="54"/>
      <c r="Y351" s="54"/>
      <c r="Z351" s="54"/>
    </row>
    <row r="352" spans="15:26">
      <c r="O352" s="59"/>
      <c r="P352" s="63"/>
      <c r="Q352" s="141"/>
      <c r="R352" s="141"/>
      <c r="S352" s="141"/>
      <c r="T352" s="141"/>
      <c r="U352" s="141"/>
      <c r="V352" s="58"/>
      <c r="X352" s="54"/>
      <c r="Y352" s="54"/>
      <c r="Z352" s="54"/>
    </row>
    <row r="353" spans="15:26">
      <c r="O353" s="59"/>
      <c r="P353" s="63"/>
      <c r="Q353" s="141"/>
      <c r="R353" s="141"/>
      <c r="S353" s="141"/>
      <c r="T353" s="141"/>
      <c r="U353" s="141"/>
      <c r="V353" s="58"/>
      <c r="X353" s="54"/>
      <c r="Y353" s="54"/>
      <c r="Z353" s="54"/>
    </row>
    <row r="354" spans="15:26">
      <c r="O354" s="59"/>
      <c r="P354" s="63"/>
      <c r="Q354" s="141"/>
      <c r="R354" s="141"/>
      <c r="S354" s="141"/>
      <c r="T354" s="141"/>
      <c r="U354" s="141"/>
      <c r="V354" s="58"/>
      <c r="X354" s="54"/>
      <c r="Y354" s="54"/>
      <c r="Z354" s="54"/>
    </row>
    <row r="355" spans="15:26">
      <c r="O355" s="59"/>
      <c r="P355" s="63"/>
      <c r="Q355" s="141"/>
      <c r="R355" s="141"/>
      <c r="S355" s="141"/>
      <c r="T355" s="141"/>
      <c r="U355" s="141"/>
      <c r="V355" s="58"/>
      <c r="X355" s="54"/>
      <c r="Y355" s="54"/>
      <c r="Z355" s="54"/>
    </row>
    <row r="356" spans="15:26">
      <c r="O356" s="59"/>
      <c r="P356" s="63"/>
      <c r="Q356" s="141"/>
      <c r="R356" s="141"/>
      <c r="S356" s="141"/>
      <c r="T356" s="141"/>
      <c r="U356" s="141"/>
      <c r="V356" s="58"/>
      <c r="X356" s="54"/>
      <c r="Y356" s="54"/>
      <c r="Z356" s="54"/>
    </row>
    <row r="357" spans="15:26">
      <c r="O357" s="59"/>
      <c r="P357" s="63"/>
      <c r="Q357" s="141"/>
      <c r="R357" s="141"/>
      <c r="S357" s="141"/>
      <c r="T357" s="141"/>
      <c r="U357" s="141"/>
      <c r="V357" s="58"/>
      <c r="X357" s="54"/>
      <c r="Y357" s="54"/>
      <c r="Z357" s="54"/>
    </row>
    <row r="358" spans="15:26">
      <c r="O358" s="60"/>
      <c r="P358" s="63"/>
      <c r="Q358" s="141"/>
      <c r="R358" s="141"/>
      <c r="S358" s="141"/>
      <c r="T358" s="141"/>
      <c r="U358" s="141"/>
      <c r="V358" s="58"/>
      <c r="X358" s="54"/>
      <c r="Y358" s="54"/>
      <c r="Z358" s="54"/>
    </row>
    <row r="359" spans="15:26">
      <c r="O359" s="60">
        <v>42522</v>
      </c>
      <c r="P359" s="63"/>
      <c r="Q359" s="141"/>
      <c r="R359" s="141"/>
      <c r="S359" s="141"/>
      <c r="T359" s="141"/>
      <c r="U359" s="141"/>
      <c r="V359" s="58"/>
      <c r="X359" s="54"/>
      <c r="Y359" s="54"/>
      <c r="Z359" s="54"/>
    </row>
    <row r="360" spans="15:26">
      <c r="O360" s="59"/>
      <c r="P360" s="63"/>
      <c r="Q360" s="141"/>
      <c r="R360" s="141"/>
      <c r="S360" s="141"/>
      <c r="T360" s="141"/>
      <c r="U360" s="141"/>
      <c r="V360" s="58"/>
      <c r="X360" s="54"/>
      <c r="Y360" s="54"/>
      <c r="Z360" s="54"/>
    </row>
    <row r="361" spans="15:26">
      <c r="O361" s="59"/>
      <c r="P361" s="63"/>
      <c r="Q361" s="141"/>
      <c r="R361" s="141"/>
      <c r="S361" s="141"/>
      <c r="T361" s="141"/>
      <c r="U361" s="141"/>
      <c r="V361" s="58"/>
      <c r="X361" s="54"/>
      <c r="Y361" s="54"/>
      <c r="Z361" s="54"/>
    </row>
    <row r="362" spans="15:26">
      <c r="O362" s="59"/>
      <c r="P362" s="63"/>
      <c r="Q362" s="141"/>
      <c r="R362" s="141"/>
      <c r="S362" s="141"/>
      <c r="T362" s="141"/>
      <c r="U362" s="141"/>
      <c r="V362" s="58"/>
      <c r="X362" s="54"/>
      <c r="Y362" s="54"/>
      <c r="Z362" s="54"/>
    </row>
    <row r="363" spans="15:26">
      <c r="O363" s="59"/>
      <c r="P363" s="63"/>
      <c r="Q363" s="141"/>
      <c r="R363" s="141"/>
      <c r="S363" s="141"/>
      <c r="T363" s="141"/>
      <c r="U363" s="141"/>
      <c r="V363" s="58"/>
      <c r="X363" s="54"/>
      <c r="Y363" s="54"/>
      <c r="Z363" s="54"/>
    </row>
    <row r="364" spans="15:26">
      <c r="O364" s="59"/>
      <c r="P364" s="63"/>
      <c r="Q364" s="141"/>
      <c r="R364" s="141"/>
      <c r="S364" s="141"/>
      <c r="T364" s="141"/>
      <c r="U364" s="141"/>
      <c r="V364" s="58"/>
      <c r="X364" s="54"/>
      <c r="Y364" s="54"/>
      <c r="Z364" s="54"/>
    </row>
    <row r="365" spans="15:26">
      <c r="O365" s="59"/>
      <c r="P365" s="63"/>
      <c r="Q365" s="141"/>
      <c r="R365" s="141"/>
      <c r="S365" s="141"/>
      <c r="T365" s="141"/>
      <c r="U365" s="141"/>
      <c r="V365" s="58"/>
      <c r="X365" s="54"/>
      <c r="Y365" s="54"/>
      <c r="Z365" s="54"/>
    </row>
    <row r="366" spans="15:26">
      <c r="O366" s="59"/>
      <c r="P366" s="63"/>
      <c r="Q366" s="141"/>
      <c r="R366" s="141"/>
      <c r="S366" s="141"/>
      <c r="T366" s="141"/>
      <c r="U366" s="141"/>
      <c r="V366" s="58"/>
      <c r="X366" s="54"/>
      <c r="Y366" s="54"/>
      <c r="Z366" s="54"/>
    </row>
    <row r="367" spans="15:26">
      <c r="O367" s="59"/>
      <c r="P367" s="63"/>
      <c r="Q367" s="141"/>
      <c r="R367" s="141"/>
      <c r="S367" s="141"/>
      <c r="T367" s="141"/>
      <c r="U367" s="141"/>
      <c r="V367" s="58"/>
      <c r="X367" s="54"/>
      <c r="Y367" s="54"/>
      <c r="Z367" s="54"/>
    </row>
    <row r="368" spans="15:26">
      <c r="O368" s="59"/>
      <c r="P368" s="63"/>
      <c r="Q368" s="141"/>
      <c r="R368" s="141"/>
      <c r="S368" s="141"/>
      <c r="T368" s="141"/>
      <c r="U368" s="141"/>
      <c r="V368" s="58"/>
      <c r="X368" s="54"/>
      <c r="Y368" s="54"/>
      <c r="Z368" s="54"/>
    </row>
    <row r="369" spans="15:26">
      <c r="O369" s="59"/>
      <c r="P369" s="63"/>
      <c r="Q369" s="141"/>
      <c r="R369" s="141"/>
      <c r="S369" s="141"/>
      <c r="T369" s="141"/>
      <c r="U369" s="141"/>
      <c r="V369" s="58"/>
      <c r="X369" s="54"/>
      <c r="Y369" s="54"/>
      <c r="Z369" s="54"/>
    </row>
    <row r="370" spans="15:26">
      <c r="O370" s="59"/>
      <c r="P370" s="63"/>
      <c r="Q370" s="141"/>
      <c r="R370" s="141"/>
      <c r="S370" s="141"/>
      <c r="T370" s="141"/>
      <c r="U370" s="141"/>
      <c r="V370" s="58"/>
      <c r="X370" s="54"/>
      <c r="Y370" s="54"/>
      <c r="Z370" s="54"/>
    </row>
    <row r="371" spans="15:26">
      <c r="O371" s="59"/>
      <c r="P371" s="63"/>
      <c r="Q371" s="141"/>
      <c r="R371" s="141"/>
      <c r="S371" s="141"/>
      <c r="T371" s="141"/>
      <c r="U371" s="141"/>
      <c r="V371" s="58"/>
      <c r="X371" s="54"/>
      <c r="Y371" s="54"/>
      <c r="Z371" s="54"/>
    </row>
    <row r="372" spans="15:26">
      <c r="O372" s="59"/>
      <c r="P372" s="63"/>
      <c r="Q372" s="141"/>
      <c r="R372" s="141"/>
      <c r="S372" s="141"/>
      <c r="T372" s="141"/>
      <c r="U372" s="141"/>
      <c r="V372" s="58"/>
      <c r="X372" s="54"/>
      <c r="Y372" s="54"/>
      <c r="Z372" s="54"/>
    </row>
    <row r="373" spans="15:26">
      <c r="O373" s="59"/>
      <c r="P373" s="63"/>
      <c r="Q373" s="141"/>
      <c r="R373" s="141"/>
      <c r="S373" s="141"/>
      <c r="T373" s="141"/>
      <c r="U373" s="141"/>
      <c r="V373" s="58"/>
      <c r="X373" s="54"/>
      <c r="Y373" s="54"/>
      <c r="Z373" s="54"/>
    </row>
    <row r="374" spans="15:26">
      <c r="O374" s="59"/>
      <c r="P374" s="63"/>
      <c r="Q374" s="141"/>
      <c r="R374" s="141"/>
      <c r="S374" s="141"/>
      <c r="T374" s="141"/>
      <c r="U374" s="141"/>
      <c r="V374" s="58"/>
      <c r="X374" s="54"/>
      <c r="Y374" s="54"/>
      <c r="Z374" s="54"/>
    </row>
    <row r="375" spans="15:26">
      <c r="O375" s="59"/>
      <c r="P375" s="63"/>
      <c r="Q375" s="141"/>
      <c r="R375" s="141"/>
      <c r="S375" s="141"/>
      <c r="T375" s="141"/>
      <c r="U375" s="141"/>
      <c r="V375" s="58"/>
      <c r="X375" s="54"/>
      <c r="Y375" s="54"/>
      <c r="Z375" s="54"/>
    </row>
    <row r="376" spans="15:26">
      <c r="O376" s="59"/>
      <c r="P376" s="63"/>
      <c r="Q376" s="141"/>
      <c r="R376" s="141"/>
      <c r="S376" s="141"/>
      <c r="T376" s="141"/>
      <c r="U376" s="141"/>
      <c r="V376" s="58"/>
      <c r="X376" s="54"/>
      <c r="Y376" s="54"/>
      <c r="Z376" s="54"/>
    </row>
    <row r="377" spans="15:26">
      <c r="O377" s="59"/>
      <c r="P377" s="63"/>
      <c r="Q377" s="141"/>
      <c r="R377" s="141"/>
      <c r="S377" s="141"/>
      <c r="T377" s="141"/>
      <c r="U377" s="141"/>
      <c r="V377" s="58"/>
      <c r="X377" s="54"/>
      <c r="Y377" s="54"/>
      <c r="Z377" s="54"/>
    </row>
    <row r="378" spans="15:26">
      <c r="O378" s="59"/>
      <c r="P378" s="63"/>
      <c r="Q378" s="141"/>
      <c r="R378" s="141"/>
      <c r="S378" s="141"/>
      <c r="T378" s="141"/>
      <c r="U378" s="141"/>
      <c r="V378" s="58"/>
      <c r="X378" s="54"/>
      <c r="Y378" s="54"/>
      <c r="Z378" s="54"/>
    </row>
    <row r="379" spans="15:26">
      <c r="O379" s="59"/>
      <c r="P379" s="63"/>
      <c r="Q379" s="141"/>
      <c r="R379" s="141"/>
      <c r="S379" s="141"/>
      <c r="T379" s="141"/>
      <c r="U379" s="141"/>
      <c r="V379" s="58"/>
      <c r="X379" s="54"/>
      <c r="Y379" s="54"/>
      <c r="Z379" s="54"/>
    </row>
    <row r="380" spans="15:26">
      <c r="O380" s="59"/>
      <c r="P380" s="63"/>
      <c r="Q380" s="141"/>
      <c r="R380" s="141"/>
      <c r="S380" s="141"/>
      <c r="T380" s="141"/>
      <c r="U380" s="141"/>
      <c r="V380" s="58"/>
      <c r="X380" s="54"/>
      <c r="Y380" s="54"/>
      <c r="Z380" s="54"/>
    </row>
    <row r="381" spans="15:26">
      <c r="O381" s="59"/>
      <c r="P381" s="63"/>
      <c r="Q381" s="141"/>
      <c r="R381" s="141"/>
      <c r="S381" s="141"/>
      <c r="T381" s="141"/>
      <c r="U381" s="141"/>
      <c r="V381" s="58"/>
      <c r="X381" s="54"/>
      <c r="Y381" s="54"/>
      <c r="Z381" s="54"/>
    </row>
    <row r="382" spans="15:26">
      <c r="O382" s="59"/>
      <c r="P382" s="63"/>
      <c r="Q382" s="141"/>
      <c r="R382" s="141"/>
      <c r="S382" s="141"/>
      <c r="T382" s="141"/>
      <c r="U382" s="141"/>
      <c r="V382" s="58"/>
      <c r="X382" s="54"/>
      <c r="Y382" s="54"/>
      <c r="Z382" s="54"/>
    </row>
    <row r="383" spans="15:26">
      <c r="O383" s="59"/>
      <c r="P383" s="63"/>
      <c r="Q383" s="141"/>
      <c r="R383" s="141"/>
      <c r="S383" s="141"/>
      <c r="T383" s="141"/>
      <c r="U383" s="141"/>
      <c r="V383" s="58"/>
      <c r="X383" s="54"/>
      <c r="Y383" s="54"/>
      <c r="Z383" s="54"/>
    </row>
    <row r="384" spans="15:26">
      <c r="O384" s="59"/>
      <c r="P384" s="63"/>
      <c r="Q384" s="141"/>
      <c r="R384" s="141"/>
      <c r="S384" s="141"/>
      <c r="T384" s="141"/>
      <c r="U384" s="141"/>
      <c r="V384" s="58"/>
      <c r="X384" s="54"/>
      <c r="Y384" s="54"/>
      <c r="Z384" s="54"/>
    </row>
    <row r="385" spans="15:26">
      <c r="O385" s="59"/>
      <c r="P385" s="63"/>
      <c r="Q385" s="141"/>
      <c r="R385" s="141"/>
      <c r="S385" s="141"/>
      <c r="T385" s="141"/>
      <c r="U385" s="141"/>
      <c r="V385" s="58"/>
      <c r="X385" s="54"/>
      <c r="Y385" s="54"/>
      <c r="Z385" s="54"/>
    </row>
    <row r="386" spans="15:26">
      <c r="O386" s="59"/>
      <c r="P386" s="63"/>
      <c r="Q386" s="141"/>
      <c r="R386" s="141"/>
      <c r="S386" s="141"/>
      <c r="T386" s="141"/>
      <c r="U386" s="141"/>
      <c r="V386" s="58"/>
      <c r="X386" s="54"/>
      <c r="Y386" s="54"/>
      <c r="Z386" s="54"/>
    </row>
    <row r="387" spans="15:26">
      <c r="O387" s="59"/>
      <c r="P387" s="63"/>
      <c r="Q387" s="141"/>
      <c r="R387" s="141"/>
      <c r="S387" s="141"/>
      <c r="T387" s="141"/>
      <c r="U387" s="141"/>
      <c r="V387" s="58"/>
      <c r="X387" s="54"/>
      <c r="Y387" s="54"/>
      <c r="Z387" s="54"/>
    </row>
    <row r="388" spans="15:26">
      <c r="O388" s="60"/>
      <c r="P388" s="63"/>
      <c r="Q388" s="141"/>
      <c r="R388" s="141"/>
      <c r="S388" s="141"/>
      <c r="T388" s="141"/>
      <c r="U388" s="141"/>
      <c r="V388" s="58"/>
      <c r="X388" s="54"/>
      <c r="Y388" s="54"/>
      <c r="Z388" s="54"/>
    </row>
    <row r="389" spans="15:26">
      <c r="O389" s="60">
        <v>42552</v>
      </c>
      <c r="P389" s="63"/>
      <c r="Q389" s="141"/>
      <c r="R389" s="141"/>
      <c r="S389" s="141"/>
      <c r="T389" s="141"/>
      <c r="U389" s="141"/>
      <c r="V389" s="58"/>
      <c r="X389" s="54"/>
      <c r="Y389" s="54"/>
      <c r="Z389" s="54"/>
    </row>
    <row r="390" spans="15:26">
      <c r="O390" s="59"/>
      <c r="P390" s="63"/>
      <c r="Q390" s="141"/>
      <c r="R390" s="141"/>
      <c r="S390" s="141"/>
      <c r="T390" s="141"/>
      <c r="U390" s="141"/>
      <c r="V390" s="58"/>
      <c r="X390" s="54"/>
      <c r="Y390" s="54"/>
      <c r="Z390" s="54"/>
    </row>
    <row r="391" spans="15:26">
      <c r="O391" s="59"/>
      <c r="P391" s="63"/>
      <c r="Q391" s="141"/>
      <c r="R391" s="141"/>
      <c r="S391" s="141"/>
      <c r="T391" s="141"/>
      <c r="U391" s="141"/>
      <c r="V391" s="58"/>
      <c r="X391" s="54"/>
      <c r="Y391" s="54"/>
      <c r="Z391" s="54"/>
    </row>
    <row r="392" spans="15:26">
      <c r="O392" s="59"/>
      <c r="P392" s="63"/>
      <c r="Q392" s="141"/>
      <c r="R392" s="141"/>
      <c r="S392" s="141"/>
      <c r="T392" s="141"/>
      <c r="U392" s="141"/>
      <c r="V392" s="58"/>
      <c r="X392" s="54"/>
      <c r="Y392" s="54"/>
      <c r="Z392" s="54"/>
    </row>
    <row r="393" spans="15:26">
      <c r="O393" s="59"/>
      <c r="P393" s="63"/>
      <c r="Q393" s="141"/>
      <c r="R393" s="141"/>
      <c r="S393" s="141"/>
      <c r="T393" s="141"/>
      <c r="U393" s="141"/>
      <c r="V393" s="58"/>
      <c r="X393" s="54"/>
      <c r="Y393" s="54"/>
      <c r="Z393" s="54"/>
    </row>
    <row r="394" spans="15:26">
      <c r="O394" s="59"/>
      <c r="P394" s="63"/>
      <c r="Q394" s="141"/>
      <c r="R394" s="141"/>
      <c r="S394" s="141"/>
      <c r="T394" s="141"/>
      <c r="U394" s="141"/>
      <c r="V394" s="58"/>
      <c r="X394" s="54"/>
      <c r="Y394" s="54"/>
      <c r="Z394" s="54"/>
    </row>
    <row r="395" spans="15:26">
      <c r="O395" s="59"/>
      <c r="P395" s="63"/>
      <c r="Q395" s="141"/>
      <c r="R395" s="141"/>
      <c r="S395" s="141"/>
      <c r="T395" s="141"/>
      <c r="U395" s="141"/>
      <c r="V395" s="58"/>
      <c r="X395" s="54"/>
      <c r="Y395" s="54"/>
      <c r="Z395" s="54"/>
    </row>
    <row r="396" spans="15:26">
      <c r="O396" s="59"/>
      <c r="P396" s="63"/>
      <c r="Q396" s="141"/>
      <c r="R396" s="141"/>
      <c r="S396" s="141"/>
      <c r="T396" s="141"/>
      <c r="U396" s="141"/>
      <c r="V396" s="58"/>
      <c r="X396" s="54"/>
      <c r="Y396" s="54"/>
      <c r="Z396" s="54"/>
    </row>
    <row r="397" spans="15:26">
      <c r="O397" s="59"/>
      <c r="P397" s="63"/>
      <c r="Q397" s="141"/>
      <c r="R397" s="141"/>
      <c r="S397" s="141"/>
      <c r="T397" s="141"/>
      <c r="U397" s="141"/>
      <c r="V397" s="58"/>
      <c r="X397" s="54"/>
      <c r="Y397" s="54"/>
      <c r="Z397" s="54"/>
    </row>
    <row r="398" spans="15:26">
      <c r="O398" s="59"/>
      <c r="P398" s="63"/>
      <c r="Q398" s="141"/>
      <c r="R398" s="141"/>
      <c r="S398" s="141"/>
      <c r="T398" s="141"/>
      <c r="U398" s="141"/>
      <c r="V398" s="58"/>
      <c r="X398" s="54"/>
      <c r="Y398" s="54"/>
      <c r="Z398" s="54"/>
    </row>
    <row r="399" spans="15:26">
      <c r="O399" s="59"/>
      <c r="P399" s="63"/>
      <c r="Q399" s="141"/>
      <c r="R399" s="141"/>
      <c r="S399" s="141"/>
      <c r="T399" s="141"/>
      <c r="U399" s="141"/>
      <c r="V399" s="58"/>
      <c r="X399" s="54"/>
      <c r="Y399" s="54"/>
      <c r="Z399" s="54"/>
    </row>
    <row r="400" spans="15:26">
      <c r="O400" s="59"/>
      <c r="P400" s="63"/>
      <c r="Q400" s="141"/>
      <c r="R400" s="141"/>
      <c r="S400" s="141"/>
      <c r="T400" s="141"/>
      <c r="U400" s="141"/>
      <c r="V400" s="58"/>
      <c r="X400" s="54"/>
      <c r="Y400" s="54"/>
      <c r="Z400" s="54"/>
    </row>
    <row r="401" spans="15:26">
      <c r="O401" s="59"/>
      <c r="P401" s="63"/>
      <c r="Q401" s="141"/>
      <c r="R401" s="141"/>
      <c r="S401" s="141"/>
      <c r="T401" s="141"/>
      <c r="U401" s="141"/>
      <c r="V401" s="58"/>
      <c r="X401" s="54"/>
      <c r="Y401" s="54"/>
      <c r="Z401" s="54"/>
    </row>
    <row r="402" spans="15:26">
      <c r="O402" s="59"/>
      <c r="P402" s="63"/>
      <c r="Q402" s="141"/>
      <c r="R402" s="141"/>
      <c r="S402" s="141"/>
      <c r="T402" s="141"/>
      <c r="U402" s="141"/>
      <c r="V402" s="58"/>
      <c r="X402" s="54"/>
      <c r="Y402" s="54"/>
      <c r="Z402" s="54"/>
    </row>
    <row r="403" spans="15:26">
      <c r="O403" s="59"/>
      <c r="P403" s="63"/>
      <c r="Q403" s="141"/>
      <c r="R403" s="141"/>
      <c r="S403" s="141"/>
      <c r="T403" s="141"/>
      <c r="U403" s="141"/>
      <c r="V403" s="58"/>
      <c r="X403" s="54"/>
      <c r="Y403" s="54"/>
      <c r="Z403" s="54"/>
    </row>
    <row r="404" spans="15:26">
      <c r="O404" s="59"/>
      <c r="P404" s="63"/>
      <c r="Q404" s="141"/>
      <c r="R404" s="141"/>
      <c r="S404" s="141"/>
      <c r="T404" s="141"/>
      <c r="U404" s="141"/>
      <c r="V404" s="58"/>
      <c r="X404" s="54"/>
      <c r="Y404" s="54"/>
      <c r="Z404" s="54"/>
    </row>
    <row r="405" spans="15:26">
      <c r="O405" s="59"/>
      <c r="P405" s="63"/>
      <c r="Q405" s="141"/>
      <c r="R405" s="141"/>
      <c r="S405" s="141"/>
      <c r="T405" s="141"/>
      <c r="U405" s="141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zoomScaleNormal="100" workbookViewId="0">
      <selection activeCell="I10" sqref="I10"/>
    </sheetView>
  </sheetViews>
  <sheetFormatPr baseColWidth="10" defaultColWidth="11.42578125" defaultRowHeight="12.75"/>
  <cols>
    <col min="1" max="1" width="0.42578125" style="69" customWidth="1"/>
    <col min="2" max="2" width="2.5703125" style="69" customWidth="1"/>
    <col min="3" max="3" width="23.5703125" style="69" customWidth="1"/>
    <col min="4" max="4" width="1.42578125" style="69" customWidth="1"/>
    <col min="5" max="5" width="59.5703125" style="69" customWidth="1"/>
    <col min="6" max="6" width="11.42578125" style="83"/>
    <col min="7" max="7" width="15.5703125" style="83" customWidth="1"/>
    <col min="8" max="16384" width="11.42578125" style="83"/>
  </cols>
  <sheetData>
    <row r="1" spans="2:18" s="69" customFormat="1" ht="0.75" customHeight="1"/>
    <row r="2" spans="2:18" s="69" customFormat="1" ht="21" customHeight="1">
      <c r="E2" s="100" t="s">
        <v>1</v>
      </c>
    </row>
    <row r="3" spans="2:18" s="69" customFormat="1" ht="15" customHeight="1">
      <c r="E3" s="109" t="str">
        <f>Indice!E3</f>
        <v>Junio 2026</v>
      </c>
    </row>
    <row r="4" spans="2:18" s="71" customFormat="1" ht="20.25" customHeight="1">
      <c r="B4" s="70"/>
      <c r="C4" s="99" t="s">
        <v>64</v>
      </c>
    </row>
    <row r="5" spans="2:18" s="71" customFormat="1" ht="12.75" customHeight="1">
      <c r="B5" s="70"/>
      <c r="C5" s="72"/>
    </row>
    <row r="6" spans="2:18" s="71" customFormat="1" ht="13.5" customHeight="1">
      <c r="B6" s="70"/>
      <c r="C6" s="73"/>
      <c r="D6" s="74"/>
      <c r="E6" s="74"/>
    </row>
    <row r="7" spans="2:18" s="71" customFormat="1" ht="12.75" customHeight="1">
      <c r="B7" s="70"/>
      <c r="C7" s="333" t="s">
        <v>74</v>
      </c>
      <c r="D7" s="74"/>
      <c r="E7" s="75"/>
      <c r="P7" s="76"/>
      <c r="Q7" s="76"/>
      <c r="R7" s="76"/>
    </row>
    <row r="8" spans="2:18" s="71" customFormat="1" ht="12.75" customHeight="1">
      <c r="B8" s="70"/>
      <c r="C8" s="333"/>
      <c r="D8" s="74"/>
      <c r="E8" s="75"/>
      <c r="P8" s="77"/>
      <c r="Q8" s="77"/>
      <c r="R8" s="77"/>
    </row>
    <row r="9" spans="2:18" s="71" customFormat="1" ht="12.75" customHeight="1">
      <c r="B9" s="70"/>
      <c r="C9" s="333"/>
      <c r="D9" s="74"/>
      <c r="E9" s="75"/>
      <c r="P9" s="78"/>
      <c r="Q9" s="78"/>
      <c r="R9" s="78"/>
    </row>
    <row r="10" spans="2:18" s="71" customFormat="1" ht="12.75" customHeight="1">
      <c r="B10" s="70"/>
      <c r="C10" s="85"/>
      <c r="D10" s="74"/>
      <c r="E10" s="75"/>
      <c r="P10" s="78"/>
      <c r="Q10" s="78"/>
      <c r="R10" s="78"/>
    </row>
    <row r="11" spans="2:18" s="71" customFormat="1" ht="12.75" customHeight="1">
      <c r="B11" s="70"/>
      <c r="C11" s="85"/>
      <c r="D11" s="74"/>
      <c r="E11" s="79"/>
      <c r="P11" s="78"/>
      <c r="Q11" s="78"/>
      <c r="R11" s="78"/>
    </row>
    <row r="12" spans="2:18" s="71" customFormat="1" ht="12.75" customHeight="1">
      <c r="B12" s="70"/>
      <c r="C12" s="85"/>
      <c r="D12" s="74"/>
      <c r="E12" s="79"/>
      <c r="P12" s="78"/>
      <c r="Q12" s="78"/>
      <c r="R12" s="78"/>
    </row>
    <row r="13" spans="2:18" s="71" customFormat="1" ht="12.75" customHeight="1">
      <c r="B13" s="70"/>
      <c r="C13" s="85"/>
      <c r="D13" s="74"/>
      <c r="E13" s="79"/>
      <c r="P13" s="78"/>
      <c r="Q13" s="78"/>
      <c r="R13" s="78"/>
    </row>
    <row r="14" spans="2:18" s="71" customFormat="1" ht="12.75" customHeight="1">
      <c r="B14" s="70"/>
      <c r="C14" s="73"/>
      <c r="D14" s="74"/>
      <c r="E14" s="79"/>
      <c r="P14" s="78"/>
      <c r="Q14" s="78"/>
      <c r="R14" s="78"/>
    </row>
    <row r="15" spans="2:18" s="71" customFormat="1" ht="12.75" customHeight="1">
      <c r="B15" s="70"/>
      <c r="C15" s="73"/>
      <c r="D15" s="74"/>
      <c r="E15" s="79"/>
      <c r="P15" s="78"/>
      <c r="Q15" s="78"/>
      <c r="R15" s="78"/>
    </row>
    <row r="16" spans="2:18" s="71" customFormat="1" ht="12.75" customHeight="1">
      <c r="B16" s="70"/>
      <c r="C16" s="73"/>
      <c r="D16" s="74"/>
      <c r="E16" s="79"/>
      <c r="P16" s="78"/>
      <c r="Q16" s="78"/>
      <c r="R16" s="78"/>
    </row>
    <row r="17" spans="2:9" s="71" customFormat="1" ht="12.75" customHeight="1">
      <c r="B17" s="70"/>
      <c r="C17" s="73"/>
      <c r="D17" s="74"/>
      <c r="E17" s="79"/>
      <c r="G17" s="81"/>
      <c r="H17" s="80"/>
      <c r="I17" s="80"/>
    </row>
    <row r="18" spans="2:9" s="71" customFormat="1" ht="12.75" customHeight="1">
      <c r="B18" s="70"/>
      <c r="C18" s="73"/>
      <c r="D18" s="74"/>
      <c r="E18" s="79"/>
      <c r="G18" s="81"/>
      <c r="H18" s="80"/>
      <c r="I18" s="80"/>
    </row>
    <row r="19" spans="2:9" s="71" customFormat="1" ht="12.75" customHeight="1">
      <c r="B19" s="70"/>
      <c r="C19" s="73"/>
      <c r="D19" s="74"/>
      <c r="E19" s="79"/>
      <c r="G19" s="81"/>
      <c r="H19" s="80"/>
      <c r="I19" s="80"/>
    </row>
    <row r="20" spans="2:9" s="71" customFormat="1" ht="12.75" customHeight="1">
      <c r="B20" s="70"/>
      <c r="C20" s="73"/>
      <c r="D20" s="74"/>
      <c r="E20" s="79"/>
      <c r="G20" s="81"/>
      <c r="H20" s="80"/>
      <c r="I20" s="80"/>
    </row>
    <row r="21" spans="2:9" s="71" customFormat="1" ht="12.75" customHeight="1">
      <c r="B21" s="70"/>
      <c r="C21" s="73"/>
      <c r="D21" s="74"/>
      <c r="E21" s="79"/>
      <c r="G21" s="81"/>
      <c r="H21" s="80"/>
      <c r="I21" s="80"/>
    </row>
    <row r="22" spans="2:9">
      <c r="E22" s="82"/>
      <c r="H22" s="80"/>
      <c r="I22" s="80"/>
    </row>
    <row r="23" spans="2:9" ht="12.75" customHeight="1">
      <c r="E23" s="82"/>
      <c r="H23" s="80"/>
    </row>
    <row r="24" spans="2:9" ht="12.75" customHeight="1">
      <c r="E24" s="82"/>
    </row>
    <row r="25" spans="2:9">
      <c r="E25" s="82"/>
    </row>
    <row r="26" spans="2:9">
      <c r="E26" s="82"/>
    </row>
    <row r="27" spans="2:9">
      <c r="E27" s="82"/>
    </row>
    <row r="28" spans="2:9">
      <c r="E28" s="324"/>
    </row>
    <row r="29" spans="2:9">
      <c r="E29" s="324"/>
    </row>
    <row r="30" spans="2:9">
      <c r="F30" s="84"/>
    </row>
    <row r="31" spans="2:9">
      <c r="F31" s="84"/>
    </row>
    <row r="32" spans="2:9">
      <c r="F32" s="84"/>
    </row>
    <row r="33" spans="6:14">
      <c r="F33" s="84"/>
    </row>
    <row r="34" spans="6:14">
      <c r="F34" s="84"/>
    </row>
    <row r="35" spans="6:14">
      <c r="F35" s="84"/>
    </row>
    <row r="40" spans="6:14">
      <c r="F40" s="69"/>
      <c r="G40" s="69"/>
      <c r="H40" s="69"/>
      <c r="I40" s="69"/>
      <c r="J40" s="69"/>
      <c r="K40" s="69"/>
      <c r="L40" s="69"/>
      <c r="N40" s="69"/>
    </row>
    <row r="41" spans="6:14">
      <c r="F41" s="69"/>
      <c r="G41" s="69"/>
      <c r="H41" s="69"/>
      <c r="I41" s="69"/>
      <c r="J41" s="69"/>
      <c r="K41" s="69"/>
      <c r="L41" s="69"/>
      <c r="N41" s="69"/>
    </row>
    <row r="42" spans="6:14">
      <c r="F42" s="69"/>
      <c r="G42" s="69"/>
      <c r="H42" s="69"/>
      <c r="I42" s="69"/>
      <c r="J42" s="69"/>
      <c r="K42" s="69"/>
      <c r="L42" s="69"/>
      <c r="N42" s="69"/>
    </row>
    <row r="43" spans="6:14">
      <c r="F43" s="69"/>
      <c r="G43" s="69"/>
      <c r="H43" s="69"/>
      <c r="I43" s="69"/>
      <c r="J43" s="69"/>
      <c r="K43" s="69"/>
      <c r="L43" s="69"/>
      <c r="N43" s="69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E9F-65BB-4221-A60D-2B53EE60BD0E}">
  <sheetPr codeName="Hoja27">
    <pageSetUpPr fitToPage="1"/>
  </sheetPr>
  <dimension ref="A1:H4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Junio 2026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31" t="s">
        <v>208</v>
      </c>
      <c r="D7" s="32"/>
      <c r="E7" s="39"/>
    </row>
    <row r="8" spans="2:6" s="29" customFormat="1" ht="12.75" customHeight="1">
      <c r="B8" s="28"/>
      <c r="C8" s="331"/>
      <c r="D8" s="32"/>
      <c r="E8" s="39"/>
    </row>
    <row r="9" spans="2:6" s="29" customFormat="1" ht="12.75" customHeight="1">
      <c r="B9" s="28"/>
      <c r="C9" s="331"/>
      <c r="D9" s="32"/>
      <c r="E9" s="39"/>
    </row>
    <row r="10" spans="2:6" s="29" customFormat="1" ht="12.75" customHeight="1">
      <c r="B10" s="28"/>
      <c r="C10" s="270" t="str">
        <f>CONCATENATE(TEXT(Dat_01!I36,"0.0")," MW")</f>
        <v>3.547 MW</v>
      </c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26"/>
      <c r="E23" s="41"/>
    </row>
    <row r="24" spans="2:6" ht="12.75" customHeight="1">
      <c r="C24" s="1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7"/>
  <sheetViews>
    <sheetView workbookViewId="0"/>
  </sheetViews>
  <sheetFormatPr baseColWidth="10" defaultRowHeight="12.75"/>
  <sheetData>
    <row r="1" spans="1:2">
      <c r="A1">
        <v>16</v>
      </c>
      <c r="B1" t="s">
        <v>310</v>
      </c>
    </row>
    <row r="2" spans="1:2">
      <c r="A2" t="s">
        <v>297</v>
      </c>
    </row>
    <row r="3" spans="1:2">
      <c r="A3" t="s">
        <v>299</v>
      </c>
    </row>
    <row r="4" spans="1:2">
      <c r="A4" t="s">
        <v>290</v>
      </c>
    </row>
    <row r="5" spans="1:2">
      <c r="A5" t="s">
        <v>230</v>
      </c>
    </row>
    <row r="6" spans="1:2">
      <c r="A6" t="s">
        <v>295</v>
      </c>
    </row>
    <row r="7" spans="1:2">
      <c r="A7" t="s">
        <v>294</v>
      </c>
    </row>
    <row r="8" spans="1:2">
      <c r="A8" t="s">
        <v>300</v>
      </c>
    </row>
    <row r="9" spans="1:2">
      <c r="A9" t="s">
        <v>302</v>
      </c>
    </row>
    <row r="10" spans="1:2">
      <c r="A10" t="s">
        <v>289</v>
      </c>
    </row>
    <row r="11" spans="1:2">
      <c r="A11" t="s">
        <v>296</v>
      </c>
    </row>
    <row r="12" spans="1:2">
      <c r="A12" t="s">
        <v>301</v>
      </c>
    </row>
    <row r="13" spans="1:2">
      <c r="A13" t="s">
        <v>307</v>
      </c>
    </row>
    <row r="14" spans="1:2">
      <c r="A14" t="s">
        <v>308</v>
      </c>
    </row>
    <row r="15" spans="1:2">
      <c r="A15" t="s">
        <v>309</v>
      </c>
    </row>
    <row r="16" spans="1:2">
      <c r="A16" t="s">
        <v>311</v>
      </c>
    </row>
    <row r="17" spans="1:1">
      <c r="A17" t="s">
        <v>292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91B-0432-42A8-A22F-654D2D4B365A}">
  <sheetPr codeName="Hoja29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3"/>
    <col min="8" max="8" width="15.7109375" style="273" customWidth="1"/>
    <col min="9" max="16384" width="11.42578125" style="273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287</v>
      </c>
    </row>
    <row r="3" spans="1:13" s="71" customFormat="1" ht="20.25" customHeight="1">
      <c r="A3" s="69"/>
      <c r="B3" s="99" t="s">
        <v>203</v>
      </c>
      <c r="D3" s="272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3"/>
      <c r="G6" s="274"/>
      <c r="H6" s="275"/>
      <c r="I6" s="275"/>
      <c r="J6" s="275"/>
      <c r="K6" s="275"/>
      <c r="L6" s="275"/>
      <c r="M6" s="275"/>
    </row>
    <row r="7" spans="1:13" ht="12.75" customHeight="1">
      <c r="A7" s="70"/>
      <c r="B7" s="331" t="s">
        <v>209</v>
      </c>
      <c r="C7" s="74"/>
      <c r="D7" s="276"/>
      <c r="E7" s="71"/>
      <c r="F7" s="277"/>
    </row>
    <row r="8" spans="1:13" ht="12.75" customHeight="1">
      <c r="A8" s="70"/>
      <c r="B8" s="331"/>
      <c r="C8" s="74"/>
      <c r="D8" s="276"/>
      <c r="E8" s="71"/>
      <c r="F8" s="277"/>
    </row>
    <row r="9" spans="1:13">
      <c r="A9" s="273"/>
      <c r="B9" s="126" t="s">
        <v>0</v>
      </c>
      <c r="C9" s="74"/>
      <c r="D9" s="276"/>
      <c r="E9" s="71"/>
      <c r="F9" s="278"/>
    </row>
    <row r="10" spans="1:13">
      <c r="A10" s="273"/>
      <c r="B10" s="85"/>
      <c r="C10" s="74"/>
      <c r="D10" s="276"/>
      <c r="E10" s="71"/>
      <c r="F10" s="278"/>
    </row>
    <row r="11" spans="1:13">
      <c r="A11" s="273"/>
      <c r="B11" s="85"/>
      <c r="C11" s="74"/>
      <c r="D11" s="74"/>
      <c r="E11" s="71"/>
      <c r="F11" s="278"/>
    </row>
    <row r="12" spans="1:13">
      <c r="A12" s="273"/>
      <c r="B12" s="85"/>
      <c r="C12" s="74"/>
      <c r="D12" s="74"/>
      <c r="E12" s="71"/>
      <c r="F12" s="278"/>
    </row>
    <row r="13" spans="1:13">
      <c r="A13" s="273"/>
      <c r="B13" s="85"/>
      <c r="C13" s="74"/>
      <c r="D13" s="74"/>
      <c r="E13" s="71"/>
      <c r="F13" s="278"/>
    </row>
    <row r="14" spans="1:13">
      <c r="A14" s="273"/>
      <c r="B14" s="73"/>
      <c r="C14" s="74"/>
      <c r="D14" s="74"/>
      <c r="E14" s="71"/>
      <c r="F14" s="278"/>
    </row>
    <row r="15" spans="1:13">
      <c r="A15" s="273"/>
      <c r="B15" s="73"/>
      <c r="C15" s="74"/>
      <c r="D15" s="74"/>
      <c r="E15" s="71"/>
      <c r="F15" s="278"/>
    </row>
    <row r="16" spans="1:13">
      <c r="A16" s="273"/>
      <c r="B16" s="73"/>
      <c r="C16" s="74"/>
      <c r="D16" s="74"/>
      <c r="E16" s="71"/>
      <c r="F16" s="278"/>
    </row>
    <row r="17" spans="1:6">
      <c r="A17" s="273"/>
      <c r="B17" s="73"/>
      <c r="C17" s="74"/>
      <c r="D17" s="74"/>
      <c r="E17" s="71"/>
      <c r="F17" s="278"/>
    </row>
    <row r="18" spans="1:6">
      <c r="A18" s="273"/>
      <c r="B18" s="73"/>
      <c r="C18" s="74"/>
      <c r="D18" s="74"/>
      <c r="E18" s="71"/>
      <c r="F18" s="278"/>
    </row>
    <row r="19" spans="1:6">
      <c r="A19" s="273"/>
      <c r="B19" s="73"/>
      <c r="C19" s="74"/>
      <c r="D19" s="74"/>
      <c r="E19" s="71"/>
      <c r="F19" s="278"/>
    </row>
    <row r="20" spans="1:6">
      <c r="A20" s="273"/>
      <c r="B20" s="73"/>
      <c r="C20" s="74"/>
      <c r="D20" s="74"/>
      <c r="E20" s="71"/>
      <c r="F20" s="278"/>
    </row>
    <row r="21" spans="1:6">
      <c r="A21" s="273"/>
      <c r="B21" s="73"/>
      <c r="C21" s="74"/>
      <c r="D21" s="74"/>
      <c r="E21" s="71"/>
      <c r="F21" s="278"/>
    </row>
    <row r="28" spans="1:6">
      <c r="D28" s="279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0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A73E-8F1F-4E48-AFB6-DF58E8BE73A8}">
  <sheetPr codeName="Hoja1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3"/>
    <col min="8" max="8" width="15.7109375" style="273" customWidth="1"/>
    <col min="9" max="16384" width="11.42578125" style="273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287</v>
      </c>
    </row>
    <row r="3" spans="1:13" s="71" customFormat="1" ht="20.25" customHeight="1">
      <c r="A3" s="69"/>
      <c r="B3" s="99" t="s">
        <v>64</v>
      </c>
      <c r="D3" s="272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3"/>
      <c r="G6" s="274"/>
      <c r="H6" s="275"/>
      <c r="I6" s="275"/>
      <c r="J6" s="275"/>
      <c r="K6" s="275"/>
      <c r="L6" s="275"/>
      <c r="M6" s="275"/>
    </row>
    <row r="7" spans="1:13" ht="12.75" customHeight="1">
      <c r="A7" s="70"/>
      <c r="B7" s="331" t="s">
        <v>209</v>
      </c>
      <c r="C7" s="74"/>
      <c r="D7" s="276"/>
      <c r="E7" s="71"/>
      <c r="F7" s="277"/>
    </row>
    <row r="8" spans="1:13" ht="12.75" customHeight="1">
      <c r="A8" s="70"/>
      <c r="B8" s="331"/>
      <c r="C8" s="74"/>
      <c r="D8" s="276"/>
      <c r="E8" s="71"/>
      <c r="F8" s="277"/>
    </row>
    <row r="9" spans="1:13">
      <c r="A9" s="273"/>
      <c r="B9" s="126" t="s">
        <v>0</v>
      </c>
      <c r="C9" s="74"/>
      <c r="D9" s="276"/>
      <c r="E9" s="71"/>
      <c r="F9" s="278"/>
    </row>
    <row r="10" spans="1:13">
      <c r="A10" s="273"/>
      <c r="B10" s="85"/>
      <c r="C10" s="74"/>
      <c r="D10" s="276"/>
      <c r="E10" s="71"/>
      <c r="F10" s="278"/>
    </row>
    <row r="11" spans="1:13">
      <c r="A11" s="273"/>
      <c r="B11" s="85"/>
      <c r="C11" s="74"/>
      <c r="D11" s="74"/>
      <c r="E11" s="71"/>
      <c r="F11" s="278"/>
    </row>
    <row r="12" spans="1:13">
      <c r="A12" s="273"/>
      <c r="B12" s="85"/>
      <c r="C12" s="74"/>
      <c r="D12" s="74"/>
      <c r="E12" s="71"/>
      <c r="F12" s="278"/>
    </row>
    <row r="13" spans="1:13">
      <c r="A13" s="273"/>
      <c r="B13" s="85"/>
      <c r="C13" s="74"/>
      <c r="D13" s="74"/>
      <c r="E13" s="71"/>
      <c r="F13" s="278"/>
    </row>
    <row r="14" spans="1:13">
      <c r="A14" s="273"/>
      <c r="B14" s="73"/>
      <c r="C14" s="74"/>
      <c r="D14" s="74"/>
      <c r="E14" s="71"/>
      <c r="F14" s="278"/>
    </row>
    <row r="15" spans="1:13">
      <c r="A15" s="273"/>
      <c r="B15" s="73"/>
      <c r="C15" s="74"/>
      <c r="D15" s="74"/>
      <c r="E15" s="71"/>
      <c r="F15" s="278"/>
    </row>
    <row r="16" spans="1:13">
      <c r="A16" s="273"/>
      <c r="B16" s="73"/>
      <c r="C16" s="74"/>
      <c r="D16" s="74"/>
      <c r="E16" s="71"/>
      <c r="F16" s="278"/>
    </row>
    <row r="17" spans="1:6">
      <c r="A17" s="273"/>
      <c r="B17" s="73"/>
      <c r="C17" s="74"/>
      <c r="D17" s="74"/>
      <c r="E17" s="71"/>
      <c r="F17" s="278"/>
    </row>
    <row r="18" spans="1:6">
      <c r="A18" s="273"/>
      <c r="B18" s="73"/>
      <c r="C18" s="74"/>
      <c r="D18" s="74"/>
      <c r="E18" s="71"/>
      <c r="F18" s="278"/>
    </row>
    <row r="19" spans="1:6">
      <c r="A19" s="273"/>
      <c r="B19" s="73"/>
      <c r="C19" s="74"/>
      <c r="D19" s="74"/>
      <c r="E19" s="71"/>
      <c r="F19" s="278"/>
    </row>
    <row r="20" spans="1:6">
      <c r="A20" s="273"/>
      <c r="B20" s="73"/>
      <c r="C20" s="74"/>
      <c r="D20" s="74"/>
      <c r="E20" s="71"/>
      <c r="F20" s="278"/>
    </row>
    <row r="21" spans="1:6">
      <c r="A21" s="273"/>
      <c r="B21" s="73"/>
      <c r="C21" s="74"/>
      <c r="D21" s="74"/>
      <c r="E21" s="71"/>
      <c r="F21" s="278"/>
    </row>
    <row r="28" spans="1:6">
      <c r="D28" s="279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0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986-AA70-447D-9A75-6032DA86CF66}">
  <sheetPr codeName="Hoja30">
    <pageSetUpPr autoPageBreaks="0"/>
  </sheetPr>
  <dimension ref="A1:N24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Junio 2026</v>
      </c>
    </row>
    <row r="4" spans="1:14" s="7" customFormat="1" ht="20.25" customHeight="1">
      <c r="B4" s="8"/>
      <c r="C4" s="99" t="s">
        <v>203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27" t="s">
        <v>211</v>
      </c>
      <c r="D7" s="12"/>
      <c r="E7" s="339" t="s">
        <v>212</v>
      </c>
      <c r="F7" s="339"/>
      <c r="G7" s="9"/>
    </row>
    <row r="8" spans="1:14" ht="12.75" customHeight="1">
      <c r="A8" s="7"/>
      <c r="B8" s="8"/>
      <c r="C8" s="327"/>
      <c r="D8" s="12"/>
      <c r="E8" s="340" t="str">
        <f>CONCATENATE(TEXT(SUM(Dat_01!B22:B25)/1000,"0,0")," GWh")</f>
        <v>-367,0 GWh</v>
      </c>
      <c r="F8" s="340"/>
      <c r="G8" s="16"/>
    </row>
    <row r="9" spans="1:14">
      <c r="A9" s="7"/>
      <c r="B9" s="8"/>
      <c r="C9" s="18"/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337" t="s">
        <v>213</v>
      </c>
      <c r="F10" s="338" t="str">
        <f>CONCATENATE(TEXT(SUM(Dat_01!B22,Dat_01!B24)/1000,"0,0")," GWh")</f>
        <v>633,9 GWh</v>
      </c>
    </row>
    <row r="11" spans="1:14">
      <c r="E11" s="337"/>
      <c r="F11" s="338"/>
    </row>
    <row r="12" spans="1:14">
      <c r="E12" s="21"/>
      <c r="F12" s="21"/>
    </row>
    <row r="13" spans="1:14">
      <c r="E13" s="21"/>
      <c r="F13" s="21"/>
    </row>
    <row r="14" spans="1:14">
      <c r="F14" s="21"/>
    </row>
    <row r="15" spans="1:14">
      <c r="E15" s="21"/>
      <c r="F15" s="23"/>
    </row>
    <row r="16" spans="1:14">
      <c r="E16" s="21"/>
      <c r="F16" s="21"/>
    </row>
    <row r="17" spans="1:14">
      <c r="E17" s="21"/>
      <c r="F17" s="21"/>
    </row>
    <row r="18" spans="1:14">
      <c r="E18" s="21"/>
      <c r="F18" s="21"/>
    </row>
    <row r="19" spans="1:14">
      <c r="E19" s="21"/>
      <c r="F19" s="21"/>
    </row>
    <row r="20" spans="1:14">
      <c r="E20" s="21"/>
      <c r="F20" s="21"/>
    </row>
    <row r="21" spans="1:14">
      <c r="E21" s="21"/>
      <c r="F21" s="21"/>
    </row>
    <row r="22" spans="1:14">
      <c r="E22" s="21"/>
      <c r="F22" s="21"/>
    </row>
    <row r="23" spans="1:14">
      <c r="E23" s="337" t="s">
        <v>215</v>
      </c>
      <c r="F23" s="338" t="str">
        <f>CONCATENATE(TEXT(SUM(Dat_01!B23,Dat_01!B25)/1000,"0.000,0")," GWh")</f>
        <v>-1.000,9 GWh</v>
      </c>
    </row>
    <row r="24" spans="1:14" s="22" customFormat="1">
      <c r="A24" s="5"/>
      <c r="B24" s="5"/>
      <c r="C24" s="5"/>
      <c r="D24" s="5"/>
      <c r="E24" s="337"/>
      <c r="F24" s="338"/>
      <c r="G24" s="17"/>
      <c r="H24" s="17"/>
      <c r="I24" s="17"/>
      <c r="J24" s="17"/>
      <c r="K24" s="17"/>
      <c r="L24" s="17"/>
      <c r="M24" s="17"/>
      <c r="N24" s="17"/>
    </row>
  </sheetData>
  <mergeCells count="7">
    <mergeCell ref="E23:E24"/>
    <mergeCell ref="F23:F24"/>
    <mergeCell ref="C7:C8"/>
    <mergeCell ref="E7:F7"/>
    <mergeCell ref="E8:F8"/>
    <mergeCell ref="F10:F11"/>
    <mergeCell ref="E10:E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E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CE65-12B6-4321-88A4-CF2266FD112F}">
  <dimension ref="C1:Y44"/>
  <sheetViews>
    <sheetView showGridLines="0" showRowColHeaders="0" topLeftCell="A2" zoomScaleNormal="100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Junio 2026</v>
      </c>
    </row>
    <row r="4" spans="3:25" ht="20.100000000000001" customHeight="1">
      <c r="C4" s="99" t="s">
        <v>252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3" t="s">
        <v>254</v>
      </c>
      <c r="E7" s="4"/>
    </row>
    <row r="8" spans="3:25">
      <c r="C8" s="333"/>
      <c r="E8" s="4"/>
    </row>
    <row r="9" spans="3:25">
      <c r="C9" s="333"/>
      <c r="E9" s="4"/>
    </row>
    <row r="10" spans="3:25">
      <c r="C10" s="114" t="s">
        <v>55</v>
      </c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315E-22A1-43C7-BEC4-F6D33C2E6DE1}">
  <sheetPr>
    <pageSetUpPr autoPageBreaks="0"/>
  </sheetPr>
  <dimension ref="A1:N20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Junio 2026</v>
      </c>
    </row>
    <row r="4" spans="1:14" s="7" customFormat="1" ht="20.25" customHeight="1">
      <c r="B4" s="8"/>
      <c r="C4" s="99" t="s">
        <v>252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27" t="s">
        <v>253</v>
      </c>
      <c r="D7" s="12"/>
      <c r="G7" s="9"/>
    </row>
    <row r="8" spans="1:14" ht="12.75" customHeight="1">
      <c r="A8" s="7"/>
      <c r="B8" s="8"/>
      <c r="C8" s="327"/>
      <c r="D8" s="12"/>
      <c r="G8" s="16"/>
    </row>
    <row r="9" spans="1:14">
      <c r="A9" s="7"/>
      <c r="B9" s="8"/>
      <c r="C9" s="114" t="s">
        <v>0</v>
      </c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21"/>
      <c r="F10" s="21"/>
    </row>
    <row r="11" spans="1:14">
      <c r="E11" s="21"/>
      <c r="F11" s="21"/>
    </row>
    <row r="12" spans="1:14">
      <c r="F12" s="21"/>
    </row>
    <row r="13" spans="1:14">
      <c r="E13" s="21"/>
      <c r="F13" s="23"/>
    </row>
    <row r="14" spans="1:14">
      <c r="E14" s="21"/>
      <c r="F14" s="21"/>
    </row>
    <row r="15" spans="1:14">
      <c r="E15" s="21"/>
      <c r="F15" s="21"/>
    </row>
    <row r="16" spans="1:14">
      <c r="E16" s="21"/>
      <c r="F16" s="21"/>
    </row>
    <row r="17" spans="5:6">
      <c r="E17" s="21"/>
      <c r="F17" s="21"/>
    </row>
    <row r="18" spans="5:6">
      <c r="E18" s="21"/>
      <c r="F18" s="21"/>
    </row>
    <row r="19" spans="5:6">
      <c r="E19" s="21"/>
      <c r="F19" s="21"/>
    </row>
    <row r="20" spans="5:6">
      <c r="E20" s="21"/>
      <c r="F20" s="2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AA310"/>
  <sheetViews>
    <sheetView topLeftCell="J151" zoomScale="90" zoomScaleNormal="90" zoomScaleSheetLayoutView="100" workbookViewId="0">
      <selection activeCell="O162" sqref="O162"/>
    </sheetView>
  </sheetViews>
  <sheetFormatPr baseColWidth="10" defaultRowHeight="12.75"/>
  <cols>
    <col min="1" max="1" width="27.7109375" customWidth="1"/>
    <col min="2" max="9" width="15.7109375" customWidth="1"/>
    <col min="10" max="15" width="17.42578125" bestFit="1" customWidth="1"/>
    <col min="16" max="22" width="15.7109375" customWidth="1"/>
    <col min="23" max="26" width="18.7109375" customWidth="1"/>
    <col min="27" max="250" width="15.5703125" customWidth="1"/>
  </cols>
  <sheetData>
    <row r="1" spans="1:15">
      <c r="A1" s="167" t="s">
        <v>28</v>
      </c>
      <c r="B1" s="167" t="s">
        <v>103</v>
      </c>
      <c r="L1" s="312" t="s">
        <v>238</v>
      </c>
      <c r="M1" s="312" t="s">
        <v>93</v>
      </c>
    </row>
    <row r="2" spans="1:15">
      <c r="A2" s="292" t="s">
        <v>287</v>
      </c>
      <c r="B2" s="292" t="s">
        <v>288</v>
      </c>
      <c r="L2" s="312" t="s">
        <v>271</v>
      </c>
      <c r="M2" s="312" t="s">
        <v>15</v>
      </c>
    </row>
    <row r="3" spans="1:15">
      <c r="L3" s="312" t="s">
        <v>272</v>
      </c>
      <c r="M3" s="312" t="s">
        <v>15</v>
      </c>
    </row>
    <row r="4" spans="1:15">
      <c r="A4" s="163" t="s">
        <v>28</v>
      </c>
      <c r="B4" s="341" t="s">
        <v>287</v>
      </c>
      <c r="C4" s="342"/>
      <c r="D4" s="342"/>
      <c r="E4" s="342"/>
      <c r="F4" s="342"/>
      <c r="G4" s="342"/>
      <c r="H4" s="342"/>
      <c r="I4" s="342"/>
      <c r="J4" s="342"/>
      <c r="L4" s="248" t="s">
        <v>101</v>
      </c>
      <c r="M4" s="249" t="s">
        <v>164</v>
      </c>
    </row>
    <row r="5" spans="1:15">
      <c r="A5" s="163" t="s">
        <v>100</v>
      </c>
      <c r="B5" s="347" t="s">
        <v>93</v>
      </c>
      <c r="C5" s="348"/>
      <c r="D5" s="348"/>
      <c r="E5" s="348"/>
      <c r="F5" s="348"/>
      <c r="G5" s="348"/>
      <c r="H5" s="348"/>
      <c r="I5" s="348"/>
      <c r="J5" s="348"/>
      <c r="L5" s="248" t="s">
        <v>28</v>
      </c>
      <c r="M5" s="249" t="s">
        <v>291</v>
      </c>
    </row>
    <row r="6" spans="1:15">
      <c r="A6" s="163" t="s">
        <v>101</v>
      </c>
      <c r="B6" s="164" t="s">
        <v>94</v>
      </c>
      <c r="C6" s="164" t="s">
        <v>156</v>
      </c>
      <c r="D6" s="164" t="s">
        <v>95</v>
      </c>
      <c r="E6" s="164" t="s">
        <v>96</v>
      </c>
      <c r="F6" s="164" t="s">
        <v>143</v>
      </c>
      <c r="G6" s="164" t="s">
        <v>97</v>
      </c>
      <c r="H6" s="164" t="s">
        <v>98</v>
      </c>
      <c r="I6" s="164" t="s">
        <v>157</v>
      </c>
      <c r="J6" s="164" t="s">
        <v>99</v>
      </c>
      <c r="L6" s="248" t="s">
        <v>165</v>
      </c>
      <c r="M6" s="250"/>
    </row>
    <row r="7" spans="1:15">
      <c r="A7" s="163" t="s">
        <v>102</v>
      </c>
      <c r="B7" s="165"/>
      <c r="C7" s="165"/>
      <c r="D7" s="165"/>
      <c r="E7" s="165"/>
      <c r="F7" s="165"/>
      <c r="G7" s="165"/>
      <c r="H7" s="165"/>
      <c r="I7" s="165"/>
      <c r="J7" s="165"/>
      <c r="L7" s="219" t="s">
        <v>4</v>
      </c>
      <c r="M7" s="313">
        <v>1258.0899999999999</v>
      </c>
      <c r="O7" s="253"/>
    </row>
    <row r="8" spans="1:15">
      <c r="A8" s="292" t="s">
        <v>2</v>
      </c>
      <c r="B8" s="303">
        <v>2108117.2669939999</v>
      </c>
      <c r="C8" s="303">
        <v>2409309.8923360002</v>
      </c>
      <c r="D8" s="304">
        <v>-0.1250119905</v>
      </c>
      <c r="E8" s="303">
        <v>19168498.012564</v>
      </c>
      <c r="F8" s="303">
        <v>21355297.238127001</v>
      </c>
      <c r="G8" s="304">
        <v>-0.1024007861</v>
      </c>
      <c r="H8" s="303">
        <v>31512445.725589</v>
      </c>
      <c r="I8" s="303">
        <v>35083176.149887003</v>
      </c>
      <c r="J8" s="304">
        <v>-0.1017789954</v>
      </c>
      <c r="L8" s="219" t="s">
        <v>120</v>
      </c>
      <c r="M8" s="313">
        <v>24561.845000000001</v>
      </c>
      <c r="O8" s="253"/>
    </row>
    <row r="9" spans="1:15">
      <c r="A9" s="292" t="s">
        <v>3</v>
      </c>
      <c r="B9" s="303">
        <v>4457563.5389999999</v>
      </c>
      <c r="C9" s="303">
        <v>4096380.2540000002</v>
      </c>
      <c r="D9" s="304">
        <v>8.8171327499999994E-2</v>
      </c>
      <c r="E9" s="303">
        <v>25309215.816</v>
      </c>
      <c r="F9" s="303">
        <v>24952188.094999999</v>
      </c>
      <c r="G9" s="304">
        <v>1.43084735E-2</v>
      </c>
      <c r="H9" s="303">
        <v>52203930.840000004</v>
      </c>
      <c r="I9" s="303">
        <v>52691342.704999998</v>
      </c>
      <c r="J9" s="304">
        <v>-9.2503215999999999E-3</v>
      </c>
      <c r="L9" s="219" t="s">
        <v>9</v>
      </c>
      <c r="M9" s="313">
        <v>5158.3834999999999</v>
      </c>
      <c r="O9" s="253"/>
    </row>
    <row r="10" spans="1:15">
      <c r="A10" s="292" t="s">
        <v>4</v>
      </c>
      <c r="B10" s="303">
        <v>13074.674000000001</v>
      </c>
      <c r="C10" s="303">
        <v>154141.783</v>
      </c>
      <c r="D10" s="304">
        <v>-0.91517761279999998</v>
      </c>
      <c r="E10" s="303">
        <v>127826.664</v>
      </c>
      <c r="F10" s="303">
        <v>1234034.4439999999</v>
      </c>
      <c r="G10" s="304">
        <v>-0.89641564330000001</v>
      </c>
      <c r="H10" s="303">
        <v>314122.58199999999</v>
      </c>
      <c r="I10" s="303">
        <v>2882515.29</v>
      </c>
      <c r="J10" s="304">
        <v>-0.8910248341</v>
      </c>
      <c r="L10" s="219" t="s">
        <v>5</v>
      </c>
      <c r="M10" s="313">
        <v>32828.391499999998</v>
      </c>
      <c r="O10" s="253"/>
    </row>
    <row r="11" spans="1:15">
      <c r="A11" s="292" t="s">
        <v>135</v>
      </c>
      <c r="B11" s="303">
        <v>209141.152</v>
      </c>
      <c r="C11" s="303">
        <v>0</v>
      </c>
      <c r="D11" s="304">
        <v>0</v>
      </c>
      <c r="E11" s="303">
        <v>1277059.925</v>
      </c>
      <c r="F11" s="303">
        <v>0</v>
      </c>
      <c r="G11" s="304">
        <v>0</v>
      </c>
      <c r="H11" s="303">
        <v>2400198.389</v>
      </c>
      <c r="I11" s="303">
        <v>0</v>
      </c>
      <c r="J11" s="304">
        <v>0</v>
      </c>
      <c r="L11" s="219" t="s">
        <v>219</v>
      </c>
      <c r="M11" s="313">
        <v>7.95</v>
      </c>
      <c r="O11" s="253"/>
    </row>
    <row r="12" spans="1:15">
      <c r="A12" s="292" t="s">
        <v>219</v>
      </c>
      <c r="B12" s="303">
        <v>0</v>
      </c>
      <c r="C12" s="303">
        <v>0</v>
      </c>
      <c r="D12" s="304">
        <v>0</v>
      </c>
      <c r="E12" s="303">
        <v>0</v>
      </c>
      <c r="F12" s="303">
        <v>0</v>
      </c>
      <c r="G12" s="304">
        <v>0</v>
      </c>
      <c r="H12" s="303">
        <v>1E-3</v>
      </c>
      <c r="I12" s="303">
        <v>0</v>
      </c>
      <c r="J12" s="304">
        <v>0</v>
      </c>
      <c r="L12" s="219" t="s">
        <v>2</v>
      </c>
      <c r="M12" s="313">
        <v>17073.748530000001</v>
      </c>
      <c r="O12" s="253"/>
    </row>
    <row r="13" spans="1:15">
      <c r="A13" s="292" t="s">
        <v>11</v>
      </c>
      <c r="B13" s="303">
        <v>3233620.5610000002</v>
      </c>
      <c r="C13" s="303">
        <v>3981030.0649999999</v>
      </c>
      <c r="D13" s="304">
        <v>-0.18774274290000001</v>
      </c>
      <c r="E13" s="303">
        <v>16663473.636</v>
      </c>
      <c r="F13" s="303">
        <v>16069237.313999999</v>
      </c>
      <c r="G13" s="304">
        <v>3.6979746500000001E-2</v>
      </c>
      <c r="H13" s="303">
        <v>39404706.164999999</v>
      </c>
      <c r="I13" s="303">
        <v>34331933.916000001</v>
      </c>
      <c r="J13" s="304">
        <v>0.1477566706</v>
      </c>
      <c r="L13" s="219" t="s">
        <v>3</v>
      </c>
      <c r="M13" s="313">
        <v>7117.29</v>
      </c>
      <c r="O13" s="253"/>
    </row>
    <row r="14" spans="1:15">
      <c r="A14" s="292" t="s">
        <v>5</v>
      </c>
      <c r="B14" s="303">
        <v>3745736.6740000001</v>
      </c>
      <c r="C14" s="303">
        <v>3077219.34</v>
      </c>
      <c r="D14" s="304">
        <v>0.2172472158</v>
      </c>
      <c r="E14" s="303">
        <v>30352062.291000001</v>
      </c>
      <c r="F14" s="303">
        <v>28504757.237</v>
      </c>
      <c r="G14" s="304">
        <v>6.4806903599999993E-2</v>
      </c>
      <c r="H14" s="303">
        <v>59230455.402999997</v>
      </c>
      <c r="I14" s="303">
        <v>56382453.835000001</v>
      </c>
      <c r="J14" s="304">
        <v>5.0512196199999998E-2</v>
      </c>
      <c r="L14" s="219" t="s">
        <v>124</v>
      </c>
      <c r="M14" s="313">
        <v>1123.67</v>
      </c>
      <c r="O14" s="253"/>
    </row>
    <row r="15" spans="1:15">
      <c r="A15" s="292" t="s">
        <v>6</v>
      </c>
      <c r="B15" s="303">
        <v>7013336.182</v>
      </c>
      <c r="C15" s="303">
        <v>5932277.8820000002</v>
      </c>
      <c r="D15" s="304">
        <v>0.18223325369999999</v>
      </c>
      <c r="E15" s="303">
        <v>27047052.134</v>
      </c>
      <c r="F15" s="303">
        <v>23184031.655999999</v>
      </c>
      <c r="G15" s="304">
        <v>0.16662418919999999</v>
      </c>
      <c r="H15" s="303">
        <v>53161760.765000001</v>
      </c>
      <c r="I15" s="303">
        <v>45766288.160999998</v>
      </c>
      <c r="J15" s="304">
        <v>0.16159214350000001</v>
      </c>
      <c r="L15" s="219" t="s">
        <v>163</v>
      </c>
      <c r="M15" s="313">
        <v>378.2405</v>
      </c>
      <c r="O15" s="253"/>
    </row>
    <row r="16" spans="1:15">
      <c r="A16" s="292" t="s">
        <v>7</v>
      </c>
      <c r="B16" s="303">
        <v>622227.96100000001</v>
      </c>
      <c r="C16" s="303">
        <v>486226.61499999999</v>
      </c>
      <c r="D16" s="304">
        <v>0.27970773669999999</v>
      </c>
      <c r="E16" s="303">
        <v>1994390.135</v>
      </c>
      <c r="F16" s="303">
        <v>1741464.41</v>
      </c>
      <c r="G16" s="304">
        <v>0.14523737810000001</v>
      </c>
      <c r="H16" s="303">
        <v>3934925.247</v>
      </c>
      <c r="I16" s="303">
        <v>3908855.051</v>
      </c>
      <c r="J16" s="304">
        <v>6.6695223000000003E-3</v>
      </c>
      <c r="L16" s="219" t="s">
        <v>123</v>
      </c>
      <c r="M16" s="313">
        <v>131.6275</v>
      </c>
      <c r="O16" s="253"/>
    </row>
    <row r="17" spans="1:15">
      <c r="A17" s="292" t="s">
        <v>8</v>
      </c>
      <c r="B17" s="303">
        <v>335469.85200000001</v>
      </c>
      <c r="C17" s="303">
        <v>315479.049</v>
      </c>
      <c r="D17" s="304">
        <v>6.3366499500000006E-2</v>
      </c>
      <c r="E17" s="303">
        <v>1793806.274</v>
      </c>
      <c r="F17" s="303">
        <v>1890166.0390000001</v>
      </c>
      <c r="G17" s="304">
        <v>-5.0979523999999998E-2</v>
      </c>
      <c r="H17" s="303">
        <v>3794591.9840000002</v>
      </c>
      <c r="I17" s="303">
        <v>3775300.3739999998</v>
      </c>
      <c r="J17" s="304">
        <v>5.1099537000000002E-3</v>
      </c>
      <c r="L17" s="219" t="s">
        <v>121</v>
      </c>
      <c r="M17" s="313">
        <v>45117.229893999996</v>
      </c>
      <c r="O17" s="253"/>
    </row>
    <row r="18" spans="1:15">
      <c r="A18" s="292" t="s">
        <v>9</v>
      </c>
      <c r="B18" s="303">
        <v>1131777.7339999999</v>
      </c>
      <c r="C18" s="303">
        <v>1373614.71</v>
      </c>
      <c r="D18" s="304">
        <v>-0.17605881349999999</v>
      </c>
      <c r="E18" s="303">
        <v>5650396.4979999997</v>
      </c>
      <c r="F18" s="303">
        <v>7648975.2640000004</v>
      </c>
      <c r="G18" s="304">
        <v>-0.26128712630000001</v>
      </c>
      <c r="H18" s="303">
        <v>13476052.607999999</v>
      </c>
      <c r="I18" s="303">
        <v>16119988.345000001</v>
      </c>
      <c r="J18" s="304">
        <v>-0.16401598319999999</v>
      </c>
      <c r="L18" s="219" t="s">
        <v>122</v>
      </c>
      <c r="M18" s="313">
        <v>2300.8229999999999</v>
      </c>
      <c r="O18" s="253"/>
    </row>
    <row r="19" spans="1:15">
      <c r="A19" s="292" t="s">
        <v>66</v>
      </c>
      <c r="B19" s="303">
        <v>50901.923499999997</v>
      </c>
      <c r="C19" s="303">
        <v>23718.671999999999</v>
      </c>
      <c r="D19" s="304">
        <v>1.1460697083</v>
      </c>
      <c r="E19" s="303">
        <v>264691.03200000001</v>
      </c>
      <c r="F19" s="303">
        <v>251860.345</v>
      </c>
      <c r="G19" s="304">
        <v>5.0943656900000002E-2</v>
      </c>
      <c r="H19" s="303">
        <v>581649.95600000001</v>
      </c>
      <c r="I19" s="303">
        <v>625325.79650000005</v>
      </c>
      <c r="J19" s="304">
        <v>-6.9844936400000002E-2</v>
      </c>
      <c r="L19" s="219" t="s">
        <v>78</v>
      </c>
      <c r="M19" s="313">
        <v>3331.4</v>
      </c>
      <c r="O19" s="253"/>
    </row>
    <row r="20" spans="1:15">
      <c r="A20" s="292" t="s">
        <v>67</v>
      </c>
      <c r="B20" s="303">
        <v>72343.810500000007</v>
      </c>
      <c r="C20" s="303">
        <v>58682.317000000003</v>
      </c>
      <c r="D20" s="304">
        <v>0.23280426200000001</v>
      </c>
      <c r="E20" s="303">
        <v>393568.70799999998</v>
      </c>
      <c r="F20" s="303">
        <v>411338.29300000001</v>
      </c>
      <c r="G20" s="304">
        <v>-4.31994427E-2</v>
      </c>
      <c r="H20" s="303">
        <v>904079.46799999999</v>
      </c>
      <c r="I20" s="303">
        <v>1139352.1695000001</v>
      </c>
      <c r="J20" s="304">
        <v>-0.2064969092</v>
      </c>
      <c r="L20" s="219" t="s">
        <v>220</v>
      </c>
      <c r="M20" s="313">
        <v>561.88499999999999</v>
      </c>
      <c r="O20" s="253"/>
    </row>
    <row r="21" spans="1:15">
      <c r="A21" s="251" t="s">
        <v>10</v>
      </c>
      <c r="B21" s="305">
        <v>22993311.329994</v>
      </c>
      <c r="C21" s="305">
        <v>21908080.579335999</v>
      </c>
      <c r="D21" s="306">
        <v>4.9535638100000001E-2</v>
      </c>
      <c r="E21" s="305">
        <v>130042041.12556399</v>
      </c>
      <c r="F21" s="305">
        <v>127243350.335127</v>
      </c>
      <c r="G21" s="306">
        <v>2.1994790199999999E-2</v>
      </c>
      <c r="H21" s="305">
        <v>260918919.133589</v>
      </c>
      <c r="I21" s="305">
        <v>252706531.792887</v>
      </c>
      <c r="J21" s="306">
        <v>3.2497724899999997E-2</v>
      </c>
      <c r="L21" s="219" t="s">
        <v>197</v>
      </c>
      <c r="M21" s="313">
        <v>215.55996999999999</v>
      </c>
    </row>
    <row r="22" spans="1:15">
      <c r="A22" s="292" t="s">
        <v>78</v>
      </c>
      <c r="B22" s="303">
        <v>632538.47960399999</v>
      </c>
      <c r="C22" s="303">
        <v>477091.774584</v>
      </c>
      <c r="D22" s="304">
        <v>0.32582138970000002</v>
      </c>
      <c r="E22" s="303">
        <v>3548956.36252</v>
      </c>
      <c r="F22" s="303">
        <v>2903289.1472370001</v>
      </c>
      <c r="G22" s="304">
        <v>0.2223916333</v>
      </c>
      <c r="H22" s="303">
        <v>6531688.8778569996</v>
      </c>
      <c r="I22" s="303">
        <v>5180642.2929480001</v>
      </c>
      <c r="J22" s="304">
        <v>0.26078746780000001</v>
      </c>
      <c r="L22" s="314" t="s">
        <v>15</v>
      </c>
      <c r="M22" s="315">
        <v>141166.13439399999</v>
      </c>
    </row>
    <row r="23" spans="1:15">
      <c r="A23" s="292" t="s">
        <v>115</v>
      </c>
      <c r="B23" s="303">
        <v>-999248.571</v>
      </c>
      <c r="C23" s="303">
        <v>-718620.00988200004</v>
      </c>
      <c r="D23" s="304">
        <v>0.3905103633</v>
      </c>
      <c r="E23" s="303">
        <v>-5703251.5009690002</v>
      </c>
      <c r="F23" s="303">
        <v>-4663222.3871219996</v>
      </c>
      <c r="G23" s="304">
        <v>0.2230279896</v>
      </c>
      <c r="H23" s="303">
        <v>-10193987.028044</v>
      </c>
      <c r="I23" s="303">
        <v>-8193389.6656229999</v>
      </c>
      <c r="J23" s="304">
        <v>0.24417212460000001</v>
      </c>
    </row>
    <row r="24" spans="1:15">
      <c r="A24" s="292" t="s">
        <v>193</v>
      </c>
      <c r="B24" s="303">
        <v>1344.2329999999999</v>
      </c>
      <c r="C24" s="303">
        <v>725.64400000000001</v>
      </c>
      <c r="D24" s="304">
        <v>0.85246897929999998</v>
      </c>
      <c r="E24" s="303">
        <v>7765.9219999999996</v>
      </c>
      <c r="F24" s="303">
        <v>3672.5239999999999</v>
      </c>
      <c r="G24" s="304">
        <v>1.1146007487</v>
      </c>
      <c r="H24" s="303">
        <v>11501.489</v>
      </c>
      <c r="I24" s="303">
        <v>9105.3960000000006</v>
      </c>
      <c r="J24" s="304">
        <v>0.26315088330000003</v>
      </c>
      <c r="L24" s="271" t="s">
        <v>203</v>
      </c>
      <c r="M24" s="281">
        <f>(+M19+M21)/M22</f>
        <v>2.5126139390487957E-2</v>
      </c>
    </row>
    <row r="25" spans="1:15">
      <c r="A25" s="292" t="s">
        <v>194</v>
      </c>
      <c r="B25" s="303">
        <v>-1620.4069999999999</v>
      </c>
      <c r="C25" s="303">
        <v>-906.35599999999999</v>
      </c>
      <c r="D25" s="304">
        <v>0.78782619629999995</v>
      </c>
      <c r="E25" s="303">
        <v>-9291.2639999999992</v>
      </c>
      <c r="F25" s="303">
        <v>-4538.1989999999996</v>
      </c>
      <c r="G25" s="304">
        <v>1.0473460948</v>
      </c>
      <c r="H25" s="303">
        <v>-14012.65</v>
      </c>
      <c r="I25" s="303">
        <v>-11133.127</v>
      </c>
      <c r="J25" s="304">
        <v>0.2586445839</v>
      </c>
    </row>
    <row r="26" spans="1:15">
      <c r="A26" s="292" t="s">
        <v>92</v>
      </c>
      <c r="B26" s="303">
        <v>-154190.43299999999</v>
      </c>
      <c r="C26" s="303">
        <v>-171035.32399999999</v>
      </c>
      <c r="D26" s="304">
        <v>-9.84877896E-2</v>
      </c>
      <c r="E26" s="303">
        <v>-711758.05900000001</v>
      </c>
      <c r="F26" s="303">
        <v>-656248.37399999995</v>
      </c>
      <c r="G26" s="304">
        <v>8.4586396199999997E-2</v>
      </c>
      <c r="H26" s="303">
        <v>-1591347.2579999999</v>
      </c>
      <c r="I26" s="303">
        <v>-1515393.352</v>
      </c>
      <c r="J26" s="304">
        <v>5.0121577899999999E-2</v>
      </c>
    </row>
    <row r="27" spans="1:15">
      <c r="A27" s="292" t="s">
        <v>116</v>
      </c>
      <c r="B27" s="303">
        <v>-1623449.8640000001</v>
      </c>
      <c r="C27" s="303">
        <v>-1002501.307</v>
      </c>
      <c r="D27" s="304">
        <v>0.61939924930000001</v>
      </c>
      <c r="E27" s="303">
        <v>-7193187.0099999998</v>
      </c>
      <c r="F27" s="303">
        <v>-6902141.7539999997</v>
      </c>
      <c r="G27" s="304">
        <v>4.2167383199999998E-2</v>
      </c>
      <c r="H27" s="303">
        <v>-13085602.693</v>
      </c>
      <c r="I27" s="303">
        <v>-11269798.177999999</v>
      </c>
      <c r="J27" s="304">
        <v>0.1611212984</v>
      </c>
    </row>
    <row r="28" spans="1:15">
      <c r="A28" s="307" t="s">
        <v>117</v>
      </c>
      <c r="B28" s="308">
        <v>20848684.767597999</v>
      </c>
      <c r="C28" s="308">
        <v>20492835.001038</v>
      </c>
      <c r="D28" s="309">
        <v>1.7364594300000001E-2</v>
      </c>
      <c r="E28" s="308">
        <v>119981275.576115</v>
      </c>
      <c r="F28" s="308">
        <v>117924161.29224201</v>
      </c>
      <c r="G28" s="309">
        <v>1.7444383399999999E-2</v>
      </c>
      <c r="H28" s="308">
        <v>242577159.871402</v>
      </c>
      <c r="I28" s="308">
        <v>236906565.15921199</v>
      </c>
      <c r="J28" s="309">
        <v>2.3935996500000001E-2</v>
      </c>
    </row>
    <row r="30" spans="1:15">
      <c r="A30" s="310" t="s">
        <v>203</v>
      </c>
      <c r="B30" s="311">
        <f>SUM(B22:B25)</f>
        <v>-366986.265396</v>
      </c>
      <c r="C30" s="311">
        <f>SUM(C22:C25)</f>
        <v>-241708.94729800004</v>
      </c>
      <c r="D30" s="311">
        <f>((B30/C30)-1)*100</f>
        <v>51.829822395257487</v>
      </c>
      <c r="E30" s="311">
        <f>SUM(E22:E25)</f>
        <v>-2155820.4804490004</v>
      </c>
      <c r="F30" s="311">
        <f>SUM(F22:F25)</f>
        <v>-1760798.9148849996</v>
      </c>
      <c r="G30" s="311">
        <f>((E30/F30)-1)*100</f>
        <v>22.434223591613247</v>
      </c>
      <c r="H30" s="311">
        <f>SUM(H22:H25)</f>
        <v>-3664809.3111870005</v>
      </c>
      <c r="I30" s="311">
        <f>SUM(I22:I25)</f>
        <v>-3014775.1036749994</v>
      </c>
      <c r="J30" s="311">
        <f>((H30/I30)-1)*100</f>
        <v>21.561615216989537</v>
      </c>
    </row>
    <row r="31" spans="1:15">
      <c r="B31" s="2"/>
      <c r="C31" s="2"/>
      <c r="D31" s="44"/>
    </row>
    <row r="32" spans="1:15">
      <c r="A32" s="102" t="s">
        <v>54</v>
      </c>
      <c r="B32" s="156"/>
      <c r="C32" s="156"/>
      <c r="D32" s="156"/>
      <c r="E32" s="104"/>
      <c r="F32" s="104"/>
      <c r="H32" s="102" t="s">
        <v>208</v>
      </c>
    </row>
    <row r="33" spans="1:13">
      <c r="A33" s="103"/>
      <c r="B33" s="86" t="s">
        <v>55</v>
      </c>
      <c r="C33" s="86" t="s">
        <v>14</v>
      </c>
      <c r="D33" s="104"/>
      <c r="E33" s="159"/>
      <c r="F33" s="160" t="s">
        <v>14</v>
      </c>
      <c r="H33" s="103"/>
      <c r="I33" s="86" t="s">
        <v>55</v>
      </c>
      <c r="J33" s="86" t="s">
        <v>14</v>
      </c>
    </row>
    <row r="34" spans="1:13">
      <c r="A34" s="105" t="s">
        <v>3</v>
      </c>
      <c r="B34" s="123">
        <f>VLOOKUP(A34,L$7:M$21,2,FALSE)</f>
        <v>7117.29</v>
      </c>
      <c r="C34" s="106">
        <f t="shared" ref="C34:C46" si="0">B34/$B$47*100</f>
        <v>5.1717284526586909</v>
      </c>
      <c r="D34" s="104"/>
      <c r="E34" s="157" t="s">
        <v>16</v>
      </c>
      <c r="F34" s="158">
        <f>SUM(C34:C40)</f>
        <v>28.370816903542622</v>
      </c>
      <c r="H34" s="105" t="s">
        <v>78</v>
      </c>
      <c r="I34" s="123">
        <f>VLOOKUP(H34,L$7:M$21,2,FALSE)</f>
        <v>3331.4</v>
      </c>
      <c r="J34" s="282">
        <f>I34/$I$36</f>
        <v>0.93922683880754376</v>
      </c>
      <c r="K34" s="284" t="str">
        <f>CONCATENATE(H34," ",TEXT(I34,"0.0")," MW")</f>
        <v>Turbinación bombeo 3.331 MW</v>
      </c>
      <c r="L34" s="284"/>
      <c r="M34" s="283">
        <f>1-J34</f>
        <v>6.0773161192456238E-2</v>
      </c>
    </row>
    <row r="35" spans="1:13">
      <c r="A35" s="105" t="s">
        <v>4</v>
      </c>
      <c r="B35" s="123">
        <f t="shared" ref="B35:B46" si="1">VLOOKUP(A35,L$7:M$21,2,FALSE)</f>
        <v>1258.0899999999999</v>
      </c>
      <c r="C35" s="106">
        <f t="shared" si="0"/>
        <v>0.91418220263687044</v>
      </c>
      <c r="D35" s="104"/>
      <c r="E35" s="161" t="s">
        <v>17</v>
      </c>
      <c r="F35" s="162">
        <f>SUM(C41:C46)</f>
        <v>71.629183096457353</v>
      </c>
      <c r="H35" s="105" t="s">
        <v>197</v>
      </c>
      <c r="I35" s="123">
        <f>VLOOKUP(H35,L$7:M$21,2,FALSE)</f>
        <v>215.55996999999999</v>
      </c>
      <c r="J35" s="282">
        <f>I35/$I$36</f>
        <v>6.0773161192456314E-2</v>
      </c>
      <c r="K35" s="284" t="str">
        <f>CONCATENATE(H35," ",TEXT(I35,"0.0")," MW")</f>
        <v>Baterías 216 MW</v>
      </c>
      <c r="L35" s="284"/>
      <c r="M35" s="283">
        <f>1-J35</f>
        <v>0.93922683880754365</v>
      </c>
    </row>
    <row r="36" spans="1:13">
      <c r="A36" s="105" t="s">
        <v>11</v>
      </c>
      <c r="B36" s="123">
        <f t="shared" si="1"/>
        <v>24561.845000000001</v>
      </c>
      <c r="C36" s="106">
        <f t="shared" si="0"/>
        <v>17.847690994225694</v>
      </c>
      <c r="D36" s="104"/>
      <c r="H36" s="107" t="s">
        <v>15</v>
      </c>
      <c r="I36" s="124">
        <f>SUM(I34:I35)</f>
        <v>3546.9599699999999</v>
      </c>
      <c r="J36" s="285">
        <f>SUM(J34:J35)</f>
        <v>1</v>
      </c>
    </row>
    <row r="37" spans="1:13">
      <c r="A37" s="105" t="s">
        <v>135</v>
      </c>
      <c r="B37" s="123">
        <f t="shared" si="1"/>
        <v>561.88499999999999</v>
      </c>
      <c r="C37" s="106">
        <f t="shared" si="0"/>
        <v>0.40828976220192359</v>
      </c>
      <c r="D37" s="104"/>
      <c r="H37" s="289"/>
      <c r="I37" s="290"/>
      <c r="J37" s="291"/>
    </row>
    <row r="38" spans="1:13">
      <c r="A38" s="105" t="s">
        <v>9</v>
      </c>
      <c r="B38" s="123">
        <f t="shared" si="1"/>
        <v>5158.3834999999999</v>
      </c>
      <c r="C38" s="106">
        <f t="shared" si="0"/>
        <v>3.7483028957194553</v>
      </c>
      <c r="D38" s="104"/>
      <c r="I38" s="44"/>
    </row>
    <row r="39" spans="1:13">
      <c r="A39" s="105" t="s">
        <v>219</v>
      </c>
      <c r="B39" s="123">
        <f>VLOOKUP(A39,L$7:M$21,2,FALSE)</f>
        <v>7.95</v>
      </c>
      <c r="C39" s="106">
        <f t="shared" si="0"/>
        <v>5.7768112861266846E-3</v>
      </c>
      <c r="D39" s="104"/>
      <c r="E39" s="104"/>
      <c r="F39" s="104"/>
      <c r="I39" s="44"/>
    </row>
    <row r="40" spans="1:13">
      <c r="A40" s="105" t="s">
        <v>67</v>
      </c>
      <c r="B40" s="123">
        <f t="shared" si="1"/>
        <v>378.2405</v>
      </c>
      <c r="C40" s="106">
        <f t="shared" si="0"/>
        <v>0.27484578481386168</v>
      </c>
      <c r="D40" s="104"/>
      <c r="E40" s="104"/>
      <c r="F40" s="104"/>
      <c r="I40" s="44"/>
    </row>
    <row r="41" spans="1:13">
      <c r="A41" s="105" t="s">
        <v>66</v>
      </c>
      <c r="B41" s="123">
        <f t="shared" si="1"/>
        <v>131.6275</v>
      </c>
      <c r="C41" s="106">
        <f t="shared" si="0"/>
        <v>9.5646192146495626E-2</v>
      </c>
      <c r="D41" s="104"/>
      <c r="E41" s="104"/>
      <c r="F41" s="104"/>
      <c r="I41" s="44"/>
    </row>
    <row r="42" spans="1:13">
      <c r="A42" s="105" t="s">
        <v>5</v>
      </c>
      <c r="B42" s="123">
        <f>VLOOKUP(A42,L$7:M$21,2,FALSE)</f>
        <v>32828.391499999998</v>
      </c>
      <c r="C42" s="106">
        <f t="shared" si="0"/>
        <v>23.854518556300039</v>
      </c>
      <c r="D42" s="104"/>
      <c r="E42" s="104"/>
      <c r="F42" s="104"/>
      <c r="I42" s="44"/>
    </row>
    <row r="43" spans="1:13">
      <c r="A43" s="105" t="s">
        <v>2</v>
      </c>
      <c r="B43" s="123">
        <f t="shared" si="1"/>
        <v>17073.748530000001</v>
      </c>
      <c r="C43" s="106">
        <f t="shared" si="0"/>
        <v>12.406518642087157</v>
      </c>
      <c r="D43" s="104"/>
      <c r="E43" s="104"/>
      <c r="F43" s="104"/>
      <c r="I43" s="44"/>
    </row>
    <row r="44" spans="1:13">
      <c r="A44" s="105" t="s">
        <v>6</v>
      </c>
      <c r="B44" s="123">
        <f t="shared" si="1"/>
        <v>45117.229893999996</v>
      </c>
      <c r="C44" s="106">
        <f t="shared" si="0"/>
        <v>32.78411608181527</v>
      </c>
      <c r="D44" s="104"/>
      <c r="E44" s="104"/>
      <c r="F44" s="104"/>
      <c r="I44" s="44"/>
    </row>
    <row r="45" spans="1:13">
      <c r="A45" s="105" t="s">
        <v>7</v>
      </c>
      <c r="B45" s="123">
        <f t="shared" si="1"/>
        <v>2300.8229999999999</v>
      </c>
      <c r="C45" s="106">
        <f t="shared" si="0"/>
        <v>1.6718767639974663</v>
      </c>
      <c r="D45" s="104"/>
      <c r="E45" s="104"/>
      <c r="F45" s="104"/>
    </row>
    <row r="46" spans="1:13">
      <c r="A46" s="105" t="s">
        <v>8</v>
      </c>
      <c r="B46" s="123">
        <f t="shared" si="1"/>
        <v>1123.67</v>
      </c>
      <c r="C46" s="106">
        <f t="shared" si="0"/>
        <v>0.81650686011093998</v>
      </c>
      <c r="E46" s="104"/>
      <c r="F46" s="104"/>
    </row>
    <row r="47" spans="1:13">
      <c r="A47" s="107" t="s">
        <v>15</v>
      </c>
      <c r="B47" s="124">
        <f>SUM(B34:B46)</f>
        <v>137619.174424</v>
      </c>
      <c r="C47" s="108">
        <f>SUM(C34:C46)</f>
        <v>99.999999999999986</v>
      </c>
      <c r="D47" s="104" t="str">
        <f>CONCATENATE(TEXT(B47,"#.##0")," MW")</f>
        <v>137.619 MW</v>
      </c>
    </row>
    <row r="49" spans="1:13">
      <c r="A49" s="102" t="s">
        <v>56</v>
      </c>
      <c r="B49" s="156"/>
      <c r="C49" s="156"/>
      <c r="D49" s="156"/>
      <c r="E49" s="104"/>
      <c r="F49" s="104"/>
      <c r="H49" s="102" t="s">
        <v>214</v>
      </c>
    </row>
    <row r="50" spans="1:13">
      <c r="A50" s="103"/>
      <c r="B50" s="86" t="s">
        <v>0</v>
      </c>
      <c r="C50" s="86" t="s">
        <v>14</v>
      </c>
      <c r="D50" s="104"/>
      <c r="E50" s="159"/>
      <c r="F50" s="160" t="s">
        <v>14</v>
      </c>
      <c r="H50" s="103"/>
      <c r="I50" s="86" t="s">
        <v>0</v>
      </c>
      <c r="J50" s="86" t="s">
        <v>14</v>
      </c>
    </row>
    <row r="51" spans="1:13">
      <c r="A51" s="105" t="s">
        <v>3</v>
      </c>
      <c r="B51" s="88">
        <f t="shared" ref="B51:B62" si="2">VLOOKUP(A51,A$8:B$28,2,FALSE)/1000</f>
        <v>4457.5635389999998</v>
      </c>
      <c r="C51" s="106">
        <f t="shared" ref="C51:C62" si="3">B51/$B$63*100</f>
        <v>19.386348816950338</v>
      </c>
      <c r="D51" s="125"/>
      <c r="E51" s="157" t="s">
        <v>16</v>
      </c>
      <c r="F51" s="158">
        <f>SUM(C51:C56)</f>
        <v>39.652929235148925</v>
      </c>
      <c r="H51" s="105" t="s">
        <v>78</v>
      </c>
      <c r="I51" s="106">
        <f>VLOOKUP(H51,A$8:B$28,2,FALSE)/1000</f>
        <v>632.53847960400003</v>
      </c>
      <c r="J51" s="282">
        <f>I51/$I$53</f>
        <v>0.9978793663665666</v>
      </c>
      <c r="K51" s="284" t="str">
        <f>CONCATENATE(H51," ",TEXT(I51,"0,0")," GWh")</f>
        <v>Turbinación bombeo 632,5 GWh</v>
      </c>
      <c r="L51" s="284"/>
      <c r="M51" s="283">
        <f>1-J51</f>
        <v>2.1206336334333997E-3</v>
      </c>
    </row>
    <row r="52" spans="1:13">
      <c r="A52" s="105" t="s">
        <v>4</v>
      </c>
      <c r="B52" s="88">
        <f t="shared" si="2"/>
        <v>13.074674000000002</v>
      </c>
      <c r="C52" s="106">
        <f t="shared" si="3"/>
        <v>5.6862945107625844E-2</v>
      </c>
      <c r="D52" s="125"/>
      <c r="E52" s="161" t="s">
        <v>17</v>
      </c>
      <c r="F52" s="162">
        <f>SUM(C57:C62)</f>
        <v>60.347070764851097</v>
      </c>
      <c r="H52" s="105" t="s">
        <v>193</v>
      </c>
      <c r="I52" s="106">
        <f>VLOOKUP(H52,A$8:B$28,2,FALSE)/1000</f>
        <v>1.344233</v>
      </c>
      <c r="J52" s="282">
        <f>I52/$I$53</f>
        <v>2.1206336334333364E-3</v>
      </c>
      <c r="K52" s="284" t="str">
        <f>CONCATENATE(H52," ",TEXT(I52,"0,0")," GWh")</f>
        <v>Entrega batería 1,3 GWh</v>
      </c>
      <c r="L52" s="284"/>
      <c r="M52" s="283">
        <f>1-J52</f>
        <v>0.99787936636656671</v>
      </c>
    </row>
    <row r="53" spans="1:13">
      <c r="A53" s="105" t="s">
        <v>11</v>
      </c>
      <c r="B53" s="88">
        <f t="shared" si="2"/>
        <v>3233.6205610000002</v>
      </c>
      <c r="C53" s="106">
        <f t="shared" si="3"/>
        <v>14.063309605962893</v>
      </c>
      <c r="D53" s="125"/>
      <c r="H53" s="107" t="s">
        <v>15</v>
      </c>
      <c r="I53" s="108">
        <f>SUM(I51:I52)</f>
        <v>633.88271260400006</v>
      </c>
      <c r="J53" s="285">
        <f>SUM(J51:J52)</f>
        <v>0.99999999999999989</v>
      </c>
      <c r="K53" t="s">
        <v>232</v>
      </c>
      <c r="M53" s="294">
        <f>(SUM(B22,B24)/SUM(C22,C24)-1)*100</f>
        <v>32.66211903335288</v>
      </c>
    </row>
    <row r="54" spans="1:13">
      <c r="A54" s="105" t="s">
        <v>135</v>
      </c>
      <c r="B54" s="88">
        <f t="shared" si="2"/>
        <v>209.14115200000001</v>
      </c>
      <c r="C54" s="106">
        <f t="shared" si="3"/>
        <v>0.90957387128135136</v>
      </c>
      <c r="D54" s="125"/>
      <c r="J54" s="44"/>
    </row>
    <row r="55" spans="1:13">
      <c r="A55" s="105" t="s">
        <v>9</v>
      </c>
      <c r="B55" s="88">
        <f t="shared" si="2"/>
        <v>1131.777734</v>
      </c>
      <c r="C55" s="106">
        <f t="shared" si="3"/>
        <v>4.922204191284246</v>
      </c>
      <c r="D55" s="125"/>
    </row>
    <row r="56" spans="1:13">
      <c r="A56" s="105" t="s">
        <v>67</v>
      </c>
      <c r="B56" s="88">
        <f t="shared" si="2"/>
        <v>72.343810500000004</v>
      </c>
      <c r="C56" s="106">
        <f t="shared" si="3"/>
        <v>0.31462980456246836</v>
      </c>
      <c r="D56" s="125"/>
      <c r="E56" s="104"/>
      <c r="F56" s="104"/>
      <c r="H56" s="102" t="s">
        <v>214</v>
      </c>
    </row>
    <row r="57" spans="1:13">
      <c r="A57" s="105" t="s">
        <v>66</v>
      </c>
      <c r="B57" s="88">
        <f t="shared" si="2"/>
        <v>50.901923499999995</v>
      </c>
      <c r="C57" s="106">
        <f t="shared" si="3"/>
        <v>0.22137708992614802</v>
      </c>
      <c r="D57" s="125"/>
      <c r="E57" s="104"/>
      <c r="F57" s="104"/>
      <c r="H57" s="103"/>
      <c r="I57" s="86" t="s">
        <v>0</v>
      </c>
      <c r="J57" s="86" t="s">
        <v>14</v>
      </c>
    </row>
    <row r="58" spans="1:13">
      <c r="A58" s="105" t="s">
        <v>5</v>
      </c>
      <c r="B58" s="88">
        <f t="shared" si="2"/>
        <v>3745.7366740000002</v>
      </c>
      <c r="C58" s="106">
        <f t="shared" si="3"/>
        <v>16.290549109008989</v>
      </c>
      <c r="D58" s="125"/>
      <c r="E58" s="104"/>
      <c r="F58" s="104"/>
      <c r="H58" s="105" t="s">
        <v>115</v>
      </c>
      <c r="I58" s="106">
        <f>VLOOKUP(H58,A$8:B$28,2,FALSE)/1000</f>
        <v>-999.24857099999997</v>
      </c>
      <c r="J58" s="282">
        <f>I58/$I$60</f>
        <v>0.99838099987549023</v>
      </c>
      <c r="K58" s="284" t="str">
        <f>CONCATENATE(H58," ",TEXT(I58,"0.000,0")," GWh")</f>
        <v>Consumo de bombeo -0.999,2 GWh</v>
      </c>
      <c r="L58" s="284"/>
      <c r="M58" s="283">
        <f>1-J58</f>
        <v>1.6190001245097729E-3</v>
      </c>
    </row>
    <row r="59" spans="1:13">
      <c r="A59" s="105" t="s">
        <v>2</v>
      </c>
      <c r="B59" s="88">
        <f t="shared" si="2"/>
        <v>2108.1172669940001</v>
      </c>
      <c r="C59" s="106">
        <f t="shared" si="3"/>
        <v>9.1683935242682182</v>
      </c>
      <c r="D59" s="125"/>
      <c r="E59" s="104"/>
      <c r="F59" s="104"/>
      <c r="H59" s="105" t="s">
        <v>194</v>
      </c>
      <c r="I59" s="106">
        <f>VLOOKUP(H59,A$8:B$28,2,FALSE)/1000</f>
        <v>-1.6204069999999999</v>
      </c>
      <c r="J59" s="282">
        <f>I59/$I$60</f>
        <v>1.6190001245098037E-3</v>
      </c>
      <c r="K59" s="284" t="str">
        <f>CONCATENATE(H59," ",TEXT(I59,"0,0")," GWh")</f>
        <v>Carga batería -1,6 GWh</v>
      </c>
      <c r="L59" s="284"/>
      <c r="M59" s="283">
        <f>1-J59</f>
        <v>0.99838099987549023</v>
      </c>
    </row>
    <row r="60" spans="1:13">
      <c r="A60" s="105" t="s">
        <v>6</v>
      </c>
      <c r="B60" s="88">
        <f t="shared" si="2"/>
        <v>7013.336182</v>
      </c>
      <c r="C60" s="106">
        <f t="shared" si="3"/>
        <v>30.501636242585644</v>
      </c>
      <c r="D60" s="125"/>
      <c r="E60" s="104"/>
      <c r="F60" s="104"/>
      <c r="H60" s="107" t="s">
        <v>15</v>
      </c>
      <c r="I60" s="108">
        <f>SUM(I58:I59)</f>
        <v>-1000.868978</v>
      </c>
      <c r="J60" s="285">
        <f>SUM(J58:J59)</f>
        <v>1</v>
      </c>
      <c r="K60" t="s">
        <v>232</v>
      </c>
      <c r="M60" s="294">
        <f>(SUM(B23,B25)/SUM(C23,C25)-1)*100</f>
        <v>39.101084471467338</v>
      </c>
    </row>
    <row r="61" spans="1:13">
      <c r="A61" s="105" t="s">
        <v>7</v>
      </c>
      <c r="B61" s="88">
        <f t="shared" si="2"/>
        <v>622.22796100000005</v>
      </c>
      <c r="C61" s="106">
        <f t="shared" si="3"/>
        <v>2.7061259340594614</v>
      </c>
      <c r="D61" s="125"/>
      <c r="E61" s="104"/>
      <c r="F61" s="104"/>
    </row>
    <row r="62" spans="1:13">
      <c r="A62" s="105" t="s">
        <v>8</v>
      </c>
      <c r="B62" s="88">
        <f t="shared" si="2"/>
        <v>335.469852</v>
      </c>
      <c r="C62" s="106">
        <f t="shared" si="3"/>
        <v>1.4589888650026277</v>
      </c>
      <c r="D62" s="104"/>
      <c r="E62" s="104"/>
      <c r="F62" s="104"/>
    </row>
    <row r="63" spans="1:13">
      <c r="A63" s="107" t="s">
        <v>15</v>
      </c>
      <c r="B63" s="124">
        <f>SUM(B51:B62)</f>
        <v>22993.311329993998</v>
      </c>
      <c r="C63" s="108">
        <f>SUM(C51:C62)</f>
        <v>100</v>
      </c>
    </row>
    <row r="67" spans="1:8">
      <c r="A67" s="163" t="s">
        <v>29</v>
      </c>
      <c r="B67" s="269" t="s">
        <v>293</v>
      </c>
      <c r="G67" s="163" t="s">
        <v>29</v>
      </c>
      <c r="H67" s="269" t="s">
        <v>276</v>
      </c>
    </row>
    <row r="68" spans="1:8">
      <c r="A68" s="163" t="s">
        <v>101</v>
      </c>
      <c r="B68" s="164" t="s">
        <v>104</v>
      </c>
      <c r="G68" s="163" t="s">
        <v>101</v>
      </c>
      <c r="H68" s="164" t="s">
        <v>104</v>
      </c>
    </row>
    <row r="69" spans="1:8">
      <c r="A69" s="163" t="s">
        <v>105</v>
      </c>
      <c r="B69" s="165"/>
      <c r="G69" s="163" t="s">
        <v>207</v>
      </c>
      <c r="H69" s="165"/>
    </row>
    <row r="70" spans="1:8">
      <c r="A70" s="292" t="s">
        <v>2</v>
      </c>
      <c r="B70" s="166">
        <v>71.229014019999994</v>
      </c>
      <c r="G70" s="292" t="s">
        <v>2</v>
      </c>
      <c r="H70" s="166">
        <v>57.696728712000002</v>
      </c>
    </row>
    <row r="71" spans="1:8">
      <c r="A71" s="292" t="s">
        <v>3</v>
      </c>
      <c r="B71" s="166">
        <v>167.495642</v>
      </c>
      <c r="G71" s="292" t="s">
        <v>3</v>
      </c>
      <c r="H71" s="166">
        <v>170.51916199999999</v>
      </c>
    </row>
    <row r="72" spans="1:8">
      <c r="A72" s="292" t="s">
        <v>4</v>
      </c>
      <c r="B72" s="166">
        <v>3.0000000000000001E-6</v>
      </c>
      <c r="G72" s="292" t="s">
        <v>4</v>
      </c>
      <c r="H72" s="166">
        <v>3.9999999999999998E-6</v>
      </c>
    </row>
    <row r="73" spans="1:8">
      <c r="A73" s="292" t="s">
        <v>135</v>
      </c>
      <c r="B73" s="166">
        <v>9.0784640000000003</v>
      </c>
      <c r="G73" s="292" t="s">
        <v>135</v>
      </c>
      <c r="H73" s="166">
        <v>6.6261039999999998</v>
      </c>
    </row>
    <row r="74" spans="1:8">
      <c r="A74" s="292" t="s">
        <v>219</v>
      </c>
      <c r="B74" s="166">
        <v>0</v>
      </c>
      <c r="G74" s="292" t="s">
        <v>219</v>
      </c>
      <c r="H74" s="166">
        <v>0</v>
      </c>
    </row>
    <row r="75" spans="1:8">
      <c r="A75" s="292" t="s">
        <v>11</v>
      </c>
      <c r="B75" s="166">
        <v>113.374146</v>
      </c>
      <c r="G75" s="292" t="s">
        <v>11</v>
      </c>
      <c r="H75" s="166">
        <v>98.528319999999994</v>
      </c>
    </row>
    <row r="76" spans="1:8">
      <c r="A76" s="292" t="s">
        <v>5</v>
      </c>
      <c r="B76" s="166">
        <v>180.241894</v>
      </c>
      <c r="G76" s="292" t="s">
        <v>5</v>
      </c>
      <c r="H76" s="166">
        <v>453.83630599999998</v>
      </c>
    </row>
    <row r="77" spans="1:8">
      <c r="A77" s="292" t="s">
        <v>6</v>
      </c>
      <c r="B77" s="166">
        <v>242.89410699999999</v>
      </c>
      <c r="G77" s="292" t="s">
        <v>6</v>
      </c>
      <c r="H77" s="166">
        <v>75.377814999999998</v>
      </c>
    </row>
    <row r="78" spans="1:8">
      <c r="A78" s="292" t="s">
        <v>7</v>
      </c>
      <c r="B78" s="166">
        <v>23.643877</v>
      </c>
      <c r="G78" s="292" t="s">
        <v>7</v>
      </c>
      <c r="H78" s="166">
        <v>0.49247400000000002</v>
      </c>
    </row>
    <row r="79" spans="1:8">
      <c r="A79" s="292" t="s">
        <v>8</v>
      </c>
      <c r="B79" s="166">
        <v>10.752998</v>
      </c>
      <c r="G79" s="292" t="s">
        <v>8</v>
      </c>
      <c r="H79" s="166">
        <v>9.7260760000000008</v>
      </c>
    </row>
    <row r="80" spans="1:8">
      <c r="A80" s="292" t="s">
        <v>9</v>
      </c>
      <c r="B80" s="166">
        <v>39.995953999999998</v>
      </c>
      <c r="G80" s="292" t="s">
        <v>9</v>
      </c>
      <c r="H80" s="166">
        <v>44.874529000000003</v>
      </c>
    </row>
    <row r="81" spans="1:11">
      <c r="A81" s="292" t="s">
        <v>66</v>
      </c>
      <c r="B81" s="166">
        <v>2.0823070000000001</v>
      </c>
      <c r="G81" s="292" t="s">
        <v>66</v>
      </c>
      <c r="H81" s="166">
        <v>1.9473825</v>
      </c>
    </row>
    <row r="82" spans="1:11">
      <c r="A82" s="292" t="s">
        <v>67</v>
      </c>
      <c r="B82" s="166">
        <v>2.8070300000000001</v>
      </c>
      <c r="G82" s="292" t="s">
        <v>67</v>
      </c>
      <c r="H82" s="166">
        <v>2.7431055</v>
      </c>
    </row>
    <row r="83" spans="1:11">
      <c r="A83" s="251" t="s">
        <v>10</v>
      </c>
      <c r="B83" s="316">
        <v>863.59543601999997</v>
      </c>
      <c r="C83">
        <f>SUM(B70,B76:B79,B81)</f>
        <v>530.84419702000002</v>
      </c>
      <c r="G83" s="251" t="s">
        <v>10</v>
      </c>
      <c r="H83" s="316">
        <v>922.36800671200001</v>
      </c>
      <c r="I83">
        <f>SUM(H70,H76:H79,H81)</f>
        <v>599.07678221200001</v>
      </c>
    </row>
    <row r="84" spans="1:11">
      <c r="A84" s="292" t="s">
        <v>78</v>
      </c>
      <c r="B84" s="166">
        <v>18.893398699999999</v>
      </c>
      <c r="G84" s="292" t="s">
        <v>78</v>
      </c>
      <c r="H84" s="166">
        <v>14.379507088</v>
      </c>
    </row>
    <row r="85" spans="1:11">
      <c r="A85" s="292" t="s">
        <v>115</v>
      </c>
      <c r="B85" s="166">
        <v>-22.988461999999998</v>
      </c>
      <c r="G85" s="292" t="s">
        <v>115</v>
      </c>
      <c r="H85" s="166">
        <v>-38.688133016000002</v>
      </c>
    </row>
    <row r="86" spans="1:11">
      <c r="A86" s="292" t="s">
        <v>193</v>
      </c>
      <c r="B86" s="166">
        <v>4.3034999999999997E-2</v>
      </c>
      <c r="G86" s="292" t="s">
        <v>193</v>
      </c>
      <c r="H86" s="166">
        <v>4.3188999999999998E-2</v>
      </c>
    </row>
    <row r="87" spans="1:11">
      <c r="A87" s="292" t="s">
        <v>194</v>
      </c>
      <c r="B87" s="166">
        <v>-4.4655E-2</v>
      </c>
      <c r="G87" s="292" t="s">
        <v>194</v>
      </c>
      <c r="H87" s="166">
        <v>-4.8675999999999997E-2</v>
      </c>
    </row>
    <row r="88" spans="1:11">
      <c r="A88" s="292" t="s">
        <v>92</v>
      </c>
      <c r="B88" s="166">
        <v>-7.1155150000000003</v>
      </c>
      <c r="G88" s="292" t="s">
        <v>92</v>
      </c>
      <c r="H88" s="166">
        <v>-4.4140459999999999</v>
      </c>
    </row>
    <row r="89" spans="1:11">
      <c r="A89" s="292" t="s">
        <v>116</v>
      </c>
      <c r="B89" s="166">
        <v>-102.07247099999999</v>
      </c>
      <c r="G89" s="292" t="s">
        <v>116</v>
      </c>
      <c r="H89" s="166">
        <v>-100.722942</v>
      </c>
    </row>
    <row r="90" spans="1:11">
      <c r="A90" s="251" t="s">
        <v>117</v>
      </c>
      <c r="B90" s="316">
        <v>750.31076671999995</v>
      </c>
      <c r="G90" s="251" t="s">
        <v>117</v>
      </c>
      <c r="H90" s="316">
        <v>792.91690578400005</v>
      </c>
    </row>
    <row r="94" spans="1:11">
      <c r="B94" s="172" t="str">
        <f>"Mes " &amp;B67</f>
        <v>Mes 29/06/2026</v>
      </c>
      <c r="H94" s="172" t="str">
        <f>"Histórico " &amp;H67</f>
        <v>Histórico 09/01/2026</v>
      </c>
    </row>
    <row r="95" spans="1:11">
      <c r="A95" s="142" t="str">
        <f>"Estructura de generacion mensual de energía eléctrica peninsular " &amp; B67</f>
        <v>Estructura de generacion mensual de energía eléctrica peninsular 29/06/2026</v>
      </c>
      <c r="B95" s="156"/>
      <c r="C95" s="156"/>
      <c r="D95" s="156"/>
      <c r="E95" s="171" t="str">
        <f>CONCATENATE("Mes",CHAR(13),MID(A95,66,10))</f>
        <v>Mes_x000D_29/06/2026</v>
      </c>
      <c r="G95" s="142" t="str">
        <f>"Estructura de generacion mensual de energía eléctrica peninsular " &amp; H67</f>
        <v>Estructura de generacion mensual de energía eléctrica peninsular 09/01/2026</v>
      </c>
      <c r="H95" s="156"/>
      <c r="I95" s="156"/>
      <c r="J95" s="156"/>
      <c r="K95" s="156"/>
    </row>
    <row r="96" spans="1:11">
      <c r="A96" s="103"/>
      <c r="B96" s="86" t="s">
        <v>14</v>
      </c>
      <c r="C96" s="104"/>
      <c r="G96" s="103"/>
      <c r="H96" s="86" t="s">
        <v>14</v>
      </c>
      <c r="I96" s="104"/>
    </row>
    <row r="97" spans="1:11">
      <c r="A97" s="105" t="s">
        <v>3</v>
      </c>
      <c r="B97" s="170">
        <f>VLOOKUP(A97,A$70:B$89,2,FALSE)/VLOOKUP("Generación",A$70:B$89,2,FALSE)*100</f>
        <v>19.395151365311406</v>
      </c>
      <c r="C97" s="104"/>
      <c r="G97" s="105" t="s">
        <v>3</v>
      </c>
      <c r="H97" s="170">
        <f>VLOOKUP(G97,G$70:H$91,2,FALSE)/VLOOKUP("Generación",G$70:H$91,2,FALSE)*100</f>
        <v>18.487107180555416</v>
      </c>
      <c r="I97" s="104"/>
    </row>
    <row r="98" spans="1:11">
      <c r="A98" s="105" t="s">
        <v>4</v>
      </c>
      <c r="B98" s="170">
        <f t="shared" ref="B98:B108" si="4">VLOOKUP(A98,A$70:B$89,2,FALSE)/VLOOKUP("Generación",A$70:B$89,2,FALSE)*100</f>
        <v>3.4738488357765282E-7</v>
      </c>
      <c r="C98" s="104"/>
      <c r="D98" s="104"/>
      <c r="E98" s="104"/>
      <c r="G98" s="105" t="s">
        <v>4</v>
      </c>
      <c r="H98" s="170">
        <f t="shared" ref="H98:H108" si="5">VLOOKUP(G98,G$70:H$91,2,FALSE)/VLOOKUP("Generación",G$70:H$91,2,FALSE)*100</f>
        <v>4.3366638596442108E-7</v>
      </c>
      <c r="I98" s="104"/>
      <c r="J98" s="104"/>
      <c r="K98" s="104"/>
    </row>
    <row r="99" spans="1:11">
      <c r="A99" s="105" t="s">
        <v>11</v>
      </c>
      <c r="B99" s="170">
        <f>VLOOKUP(A99,A$70:B$89,2,FALSE)/VLOOKUP("Generación",A$70:B$89,2,FALSE)*100</f>
        <v>13.128154836308603</v>
      </c>
      <c r="C99" s="104"/>
      <c r="D99" s="104"/>
      <c r="E99" s="104"/>
      <c r="G99" s="105" t="s">
        <v>11</v>
      </c>
      <c r="H99" s="170">
        <f>VLOOKUP(G99,G$70:H$91,2,FALSE)/VLOOKUP("Generación",G$70:H$91,2,FALSE)*100</f>
        <v>10.682105112386498</v>
      </c>
      <c r="I99" s="104"/>
      <c r="J99" s="104"/>
      <c r="K99" s="104"/>
    </row>
    <row r="100" spans="1:11">
      <c r="A100" s="105" t="s">
        <v>135</v>
      </c>
      <c r="B100" s="170">
        <f>IF(ISERROR(VLOOKUP(A100,A$70:B$92,2,FALSE)),"-",VLOOKUP(A100,A$70:B$92,2,FALSE)/VLOOKUP("Generación",A$70:B$92,2,FALSE)*100)</f>
        <v>1.0512403865679709</v>
      </c>
      <c r="C100" s="104"/>
      <c r="D100" s="104"/>
      <c r="E100" s="104"/>
      <c r="G100" s="105" t="s">
        <v>135</v>
      </c>
      <c r="H100" s="170">
        <f>IF(ISERROR(VLOOKUP(G100,G$70:H$92,2,FALSE)),"-",VLOOKUP(G100,G$70:H$92,2,FALSE)/VLOOKUP("Generación",G$70:H$92,2,FALSE)*100)</f>
        <v>0.71837964367609863</v>
      </c>
      <c r="I100" s="104"/>
      <c r="J100" s="104"/>
      <c r="K100" s="104"/>
    </row>
    <row r="101" spans="1:11">
      <c r="A101" s="105" t="s">
        <v>9</v>
      </c>
      <c r="B101" s="170">
        <f t="shared" si="4"/>
        <v>4.6313299412890521</v>
      </c>
      <c r="C101" s="104"/>
      <c r="D101" s="104"/>
      <c r="E101" s="104"/>
      <c r="G101" s="105" t="s">
        <v>9</v>
      </c>
      <c r="H101" s="170">
        <f t="shared" si="5"/>
        <v>4.8651437033214027</v>
      </c>
      <c r="I101" s="104"/>
      <c r="J101" s="104"/>
      <c r="K101" s="104"/>
    </row>
    <row r="102" spans="1:11">
      <c r="A102" s="105" t="s">
        <v>67</v>
      </c>
      <c r="B102" s="170">
        <f t="shared" si="4"/>
        <v>0.32503992991632624</v>
      </c>
      <c r="C102" s="104"/>
      <c r="D102" s="104"/>
      <c r="E102" s="104"/>
      <c r="G102" s="105" t="s">
        <v>67</v>
      </c>
      <c r="H102" s="170">
        <f t="shared" si="5"/>
        <v>0.29739816212603165</v>
      </c>
      <c r="I102" s="104"/>
      <c r="J102" s="104"/>
      <c r="K102" s="104"/>
    </row>
    <row r="103" spans="1:11">
      <c r="A103" s="105" t="s">
        <v>66</v>
      </c>
      <c r="B103" s="170">
        <f t="shared" si="4"/>
        <v>0.24112065825597717</v>
      </c>
      <c r="C103" s="104"/>
      <c r="D103" s="104"/>
      <c r="E103" s="104"/>
      <c r="G103" s="105" t="s">
        <v>66</v>
      </c>
      <c r="H103" s="170">
        <f t="shared" si="5"/>
        <v>0.21112858271633986</v>
      </c>
      <c r="I103" s="104"/>
      <c r="J103" s="104"/>
      <c r="K103" s="104"/>
    </row>
    <row r="104" spans="1:11">
      <c r="A104" s="105" t="s">
        <v>5</v>
      </c>
      <c r="B104" s="170">
        <f t="shared" si="4"/>
        <v>20.87110312100188</v>
      </c>
      <c r="C104" s="104"/>
      <c r="D104" s="104"/>
      <c r="E104" s="104"/>
      <c r="G104" s="105" t="s">
        <v>5</v>
      </c>
      <c r="H104" s="170">
        <f t="shared" si="5"/>
        <v>49.203387660615782</v>
      </c>
      <c r="I104" s="104"/>
      <c r="J104" s="104"/>
      <c r="K104" s="104"/>
    </row>
    <row r="105" spans="1:11">
      <c r="A105" s="105" t="s">
        <v>2</v>
      </c>
      <c r="B105" s="170">
        <f t="shared" si="4"/>
        <v>8.2479609142295658</v>
      </c>
      <c r="C105" s="104"/>
      <c r="D105" s="104"/>
      <c r="E105" s="104"/>
      <c r="G105" s="105" t="s">
        <v>2</v>
      </c>
      <c r="H105" s="170">
        <f t="shared" si="5"/>
        <v>6.2552829556256722</v>
      </c>
      <c r="I105" s="104"/>
      <c r="J105" s="104"/>
      <c r="K105" s="104"/>
    </row>
    <row r="106" spans="1:11">
      <c r="A106" s="105" t="s">
        <v>6</v>
      </c>
      <c r="B106" s="170">
        <f t="shared" si="4"/>
        <v>28.125913693964318</v>
      </c>
      <c r="C106" s="104"/>
      <c r="D106" s="104"/>
      <c r="E106" s="104"/>
      <c r="G106" s="105" t="s">
        <v>6</v>
      </c>
      <c r="H106" s="170">
        <f t="shared" si="5"/>
        <v>8.1722061532361838</v>
      </c>
      <c r="I106" s="104"/>
      <c r="J106" s="104"/>
      <c r="K106" s="104"/>
    </row>
    <row r="107" spans="1:11">
      <c r="A107" s="105" t="s">
        <v>7</v>
      </c>
      <c r="B107" s="170">
        <f t="shared" si="4"/>
        <v>2.7378418196564476</v>
      </c>
      <c r="C107" s="104"/>
      <c r="D107" s="104"/>
      <c r="E107" s="104"/>
      <c r="G107" s="105" t="s">
        <v>7</v>
      </c>
      <c r="H107" s="170">
        <f t="shared" si="5"/>
        <v>5.3392354940360591E-2</v>
      </c>
      <c r="I107" s="104"/>
      <c r="J107" s="104"/>
      <c r="K107" s="104"/>
    </row>
    <row r="108" spans="1:11">
      <c r="A108" s="105" t="s">
        <v>8</v>
      </c>
      <c r="B108" s="170">
        <f t="shared" si="4"/>
        <v>1.2451429861135777</v>
      </c>
      <c r="C108" s="156"/>
      <c r="D108" s="156"/>
      <c r="E108" s="156"/>
      <c r="G108" s="105" t="s">
        <v>8</v>
      </c>
      <c r="H108" s="170">
        <f t="shared" si="5"/>
        <v>1.0544680571338234</v>
      </c>
      <c r="I108" s="104"/>
      <c r="J108" s="104"/>
      <c r="K108" s="104"/>
    </row>
    <row r="109" spans="1:11">
      <c r="A109" s="107" t="s">
        <v>15</v>
      </c>
      <c r="B109" s="108">
        <f>SUM(B97:B108)</f>
        <v>100.00000000000003</v>
      </c>
      <c r="C109" s="156"/>
      <c r="D109" s="156"/>
      <c r="E109" s="156"/>
      <c r="G109" s="107" t="s">
        <v>15</v>
      </c>
      <c r="H109" s="108">
        <f>SUM(H97:H108)</f>
        <v>99.999999999999986</v>
      </c>
      <c r="I109" s="104"/>
      <c r="J109" s="104"/>
      <c r="K109" s="104"/>
    </row>
    <row r="111" spans="1:11">
      <c r="A111" s="159"/>
      <c r="B111" s="160" t="s">
        <v>14</v>
      </c>
      <c r="G111" s="159"/>
      <c r="H111" s="160" t="s">
        <v>14</v>
      </c>
    </row>
    <row r="112" spans="1:11">
      <c r="A112" s="157" t="s">
        <v>16</v>
      </c>
      <c r="B112" s="158">
        <f>SUM(B97:B102)</f>
        <v>38.530916806778244</v>
      </c>
      <c r="G112" s="157" t="s">
        <v>16</v>
      </c>
      <c r="H112" s="158">
        <f>SUM(H97:H102)</f>
        <v>35.050134235731832</v>
      </c>
    </row>
    <row r="113" spans="1:26">
      <c r="A113" s="161" t="s">
        <v>17</v>
      </c>
      <c r="B113" s="162">
        <f>SUM(B103:B108)</f>
        <v>61.469083193221763</v>
      </c>
      <c r="G113" s="161" t="s">
        <v>17</v>
      </c>
      <c r="H113" s="162">
        <f>SUM(H103:H108)</f>
        <v>64.949865764268168</v>
      </c>
    </row>
    <row r="118" spans="1:26">
      <c r="A118" s="163" t="s">
        <v>100</v>
      </c>
      <c r="B118" s="341" t="s">
        <v>93</v>
      </c>
      <c r="C118" s="342"/>
      <c r="D118" s="342"/>
      <c r="E118" s="342"/>
      <c r="F118" s="342"/>
      <c r="G118" s="342"/>
      <c r="H118" s="342"/>
      <c r="I118" s="342"/>
      <c r="J118" s="342"/>
      <c r="K118" s="342"/>
      <c r="L118" s="342"/>
      <c r="M118" s="342"/>
      <c r="N118" s="342"/>
      <c r="O118" s="342"/>
      <c r="P118" s="342"/>
      <c r="Q118" s="342"/>
      <c r="R118" s="342"/>
      <c r="S118" s="342"/>
      <c r="T118" s="342"/>
      <c r="U118" s="342"/>
      <c r="V118" s="342"/>
      <c r="W118" s="342"/>
      <c r="X118" s="342"/>
      <c r="Y118" s="342"/>
      <c r="Z118" s="342"/>
    </row>
    <row r="119" spans="1:26">
      <c r="A119" s="163" t="s">
        <v>101</v>
      </c>
      <c r="B119" s="345" t="s">
        <v>104</v>
      </c>
      <c r="C119" s="346"/>
      <c r="D119" s="346"/>
      <c r="E119" s="346"/>
      <c r="F119" s="346"/>
      <c r="G119" s="346"/>
      <c r="H119" s="346"/>
      <c r="I119" s="346"/>
      <c r="J119" s="346"/>
      <c r="K119" s="346"/>
      <c r="L119" s="346"/>
      <c r="M119" s="346"/>
      <c r="N119" s="346"/>
      <c r="O119" s="346"/>
      <c r="P119" s="346"/>
      <c r="Q119" s="346"/>
      <c r="R119" s="346"/>
      <c r="S119" s="346"/>
      <c r="T119" s="346"/>
      <c r="U119" s="346"/>
      <c r="V119" s="346"/>
      <c r="W119" s="346"/>
      <c r="X119" s="346"/>
      <c r="Y119" s="346"/>
      <c r="Z119" s="346"/>
    </row>
    <row r="120" spans="1:26">
      <c r="A120" s="167" t="s">
        <v>28</v>
      </c>
      <c r="B120" s="269" t="s">
        <v>186</v>
      </c>
      <c r="C120" s="269" t="s">
        <v>187</v>
      </c>
      <c r="D120" s="269" t="s">
        <v>188</v>
      </c>
      <c r="E120" s="269" t="s">
        <v>189</v>
      </c>
      <c r="F120" s="269" t="s">
        <v>190</v>
      </c>
      <c r="G120" s="269" t="s">
        <v>191</v>
      </c>
      <c r="H120" s="269" t="s">
        <v>192</v>
      </c>
      <c r="I120" s="269" t="s">
        <v>196</v>
      </c>
      <c r="J120" s="269" t="s">
        <v>204</v>
      </c>
      <c r="K120" s="269" t="s">
        <v>205</v>
      </c>
      <c r="L120" s="269" t="s">
        <v>206</v>
      </c>
      <c r="M120" s="269" t="s">
        <v>216</v>
      </c>
      <c r="N120" s="269" t="s">
        <v>217</v>
      </c>
      <c r="O120" s="269" t="s">
        <v>218</v>
      </c>
      <c r="P120" s="269" t="s">
        <v>231</v>
      </c>
      <c r="Q120" s="269" t="s">
        <v>233</v>
      </c>
      <c r="R120" s="269" t="s">
        <v>235</v>
      </c>
      <c r="S120" s="269" t="s">
        <v>236</v>
      </c>
      <c r="T120" s="269" t="s">
        <v>269</v>
      </c>
      <c r="U120" s="269" t="s">
        <v>273</v>
      </c>
      <c r="V120" s="269" t="s">
        <v>277</v>
      </c>
      <c r="W120" s="269" t="s">
        <v>279</v>
      </c>
      <c r="X120" s="269" t="s">
        <v>281</v>
      </c>
      <c r="Y120" s="269" t="s">
        <v>283</v>
      </c>
      <c r="Z120" s="269" t="s">
        <v>287</v>
      </c>
    </row>
    <row r="121" spans="1:26">
      <c r="A121" s="163" t="s">
        <v>102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</row>
    <row r="122" spans="1:26">
      <c r="A122" s="292" t="s">
        <v>2</v>
      </c>
      <c r="B122" s="166">
        <v>2438.0574653990002</v>
      </c>
      <c r="C122" s="166">
        <v>2170.2057400829999</v>
      </c>
      <c r="D122" s="166">
        <v>1809.4675256800001</v>
      </c>
      <c r="E122" s="166">
        <v>1653.1587001329999</v>
      </c>
      <c r="F122" s="166">
        <v>2897.320391747</v>
      </c>
      <c r="G122" s="166">
        <v>2730.6242121639998</v>
      </c>
      <c r="H122" s="166">
        <v>2467.1023419530002</v>
      </c>
      <c r="I122" s="166">
        <v>3130.2850609070001</v>
      </c>
      <c r="J122" s="166">
        <v>4134.3205979280001</v>
      </c>
      <c r="K122" s="166">
        <v>4152.9146283520004</v>
      </c>
      <c r="L122" s="166">
        <v>3947.6812923960001</v>
      </c>
      <c r="M122" s="166">
        <v>3580.785766208</v>
      </c>
      <c r="N122" s="166">
        <v>2409.3098923359998</v>
      </c>
      <c r="O122" s="166">
        <v>1903.303893153</v>
      </c>
      <c r="P122" s="166">
        <v>1795.39028151</v>
      </c>
      <c r="Q122" s="166">
        <v>1608.4303145199999</v>
      </c>
      <c r="R122" s="166">
        <v>1758.8319904279999</v>
      </c>
      <c r="S122" s="166">
        <v>2029.22533232</v>
      </c>
      <c r="T122" s="166">
        <v>3248.7659010940001</v>
      </c>
      <c r="U122" s="166">
        <v>3209.7253025529999</v>
      </c>
      <c r="V122" s="166">
        <v>4434.768453701</v>
      </c>
      <c r="W122" s="166">
        <v>4321.8610615380003</v>
      </c>
      <c r="X122" s="166">
        <v>2464.6633628059999</v>
      </c>
      <c r="Y122" s="166">
        <v>2629.3625649720002</v>
      </c>
      <c r="Z122" s="166">
        <v>2108.1172669940001</v>
      </c>
    </row>
    <row r="123" spans="1:26">
      <c r="A123" s="292" t="s">
        <v>3</v>
      </c>
      <c r="B123" s="166">
        <v>4365.7648140000001</v>
      </c>
      <c r="C123" s="166">
        <v>5078.7451019999999</v>
      </c>
      <c r="D123" s="166">
        <v>5127.9636950000004</v>
      </c>
      <c r="E123" s="166">
        <v>5016.5852709999999</v>
      </c>
      <c r="F123" s="166">
        <v>4636.1565559999999</v>
      </c>
      <c r="G123" s="166">
        <v>3631.6146010000002</v>
      </c>
      <c r="H123" s="166">
        <v>4248.0893850000002</v>
      </c>
      <c r="I123" s="166">
        <v>5226.0164349999995</v>
      </c>
      <c r="J123" s="166">
        <v>4737.4506929999998</v>
      </c>
      <c r="K123" s="166">
        <v>4878.0498619999998</v>
      </c>
      <c r="L123" s="166">
        <v>2951.8106640000001</v>
      </c>
      <c r="M123" s="166">
        <v>3062.4801870000001</v>
      </c>
      <c r="N123" s="166">
        <v>4096.3802539999997</v>
      </c>
      <c r="O123" s="166">
        <v>5062.9826640000001</v>
      </c>
      <c r="P123" s="166">
        <v>5094.8395760000003</v>
      </c>
      <c r="Q123" s="166">
        <v>4538.2160970000004</v>
      </c>
      <c r="R123" s="166">
        <v>3695.7997660000001</v>
      </c>
      <c r="S123" s="166">
        <v>3682.6770540000002</v>
      </c>
      <c r="T123" s="166">
        <v>4820.1998670000003</v>
      </c>
      <c r="U123" s="166">
        <v>5248.5547820000002</v>
      </c>
      <c r="V123" s="166">
        <v>4031.6053809999999</v>
      </c>
      <c r="W123" s="166">
        <v>3921.0966309999999</v>
      </c>
      <c r="X123" s="166">
        <v>3891.829761</v>
      </c>
      <c r="Y123" s="166">
        <v>3758.5657219999998</v>
      </c>
      <c r="Z123" s="166">
        <v>4457.5635389999998</v>
      </c>
    </row>
    <row r="124" spans="1:26">
      <c r="A124" s="292" t="s">
        <v>4</v>
      </c>
      <c r="B124" s="166">
        <v>190.86832699999999</v>
      </c>
      <c r="C124" s="166">
        <v>210.52961099999999</v>
      </c>
      <c r="D124" s="166">
        <v>224.37374800000001</v>
      </c>
      <c r="E124" s="166">
        <v>300.028865</v>
      </c>
      <c r="F124" s="166">
        <v>310.38593600000002</v>
      </c>
      <c r="G124" s="166">
        <v>288.07616899999999</v>
      </c>
      <c r="H124" s="166">
        <v>315.08651700000001</v>
      </c>
      <c r="I124" s="166">
        <v>297.46981799999998</v>
      </c>
      <c r="J124" s="166">
        <v>278.05515800000001</v>
      </c>
      <c r="K124" s="166">
        <v>190.53958</v>
      </c>
      <c r="L124" s="166">
        <v>170.12535</v>
      </c>
      <c r="M124" s="166">
        <v>143.702755</v>
      </c>
      <c r="N124" s="166">
        <v>154.141783</v>
      </c>
      <c r="O124" s="166">
        <v>105.938849</v>
      </c>
      <c r="P124" s="166">
        <v>1.1E-4</v>
      </c>
      <c r="Q124" s="166">
        <v>7.238918</v>
      </c>
      <c r="R124" s="166">
        <v>20.979158999999999</v>
      </c>
      <c r="S124" s="166">
        <v>5.3887809999999998</v>
      </c>
      <c r="T124" s="166">
        <v>46.750101000000001</v>
      </c>
      <c r="U124" s="166">
        <v>20.188559000000001</v>
      </c>
      <c r="V124" s="166">
        <v>1.0399999999999999E-4</v>
      </c>
      <c r="W124" s="166">
        <v>13.306047</v>
      </c>
      <c r="X124" s="166">
        <v>1.06E-4</v>
      </c>
      <c r="Y124" s="166">
        <v>81.257174000000006</v>
      </c>
      <c r="Z124" s="166">
        <v>13.074674</v>
      </c>
    </row>
    <row r="125" spans="1:26">
      <c r="A125" s="292" t="s">
        <v>135</v>
      </c>
      <c r="B125" s="166">
        <v>0</v>
      </c>
      <c r="C125" s="166">
        <v>0</v>
      </c>
      <c r="D125" s="166">
        <v>0</v>
      </c>
      <c r="E125" s="166">
        <v>0</v>
      </c>
      <c r="F125" s="166">
        <v>0</v>
      </c>
      <c r="G125" s="166">
        <v>0</v>
      </c>
      <c r="H125" s="166">
        <v>0</v>
      </c>
      <c r="I125" s="166">
        <v>0</v>
      </c>
      <c r="J125" s="166">
        <v>0</v>
      </c>
      <c r="K125" s="166">
        <v>0</v>
      </c>
      <c r="L125" s="166">
        <v>0</v>
      </c>
      <c r="M125" s="166">
        <v>0</v>
      </c>
      <c r="N125" s="166">
        <v>0</v>
      </c>
      <c r="O125" s="166">
        <v>108.616974</v>
      </c>
      <c r="P125" s="166">
        <v>164.26569699999999</v>
      </c>
      <c r="Q125" s="166">
        <v>185.05953700000001</v>
      </c>
      <c r="R125" s="166">
        <v>209.152976</v>
      </c>
      <c r="S125" s="166">
        <v>214.49252799999999</v>
      </c>
      <c r="T125" s="166">
        <v>241.55075199999999</v>
      </c>
      <c r="U125" s="166">
        <v>186.63329300000001</v>
      </c>
      <c r="V125" s="166">
        <v>209.25363999999999</v>
      </c>
      <c r="W125" s="166">
        <v>208.618664</v>
      </c>
      <c r="X125" s="166">
        <v>206.26164</v>
      </c>
      <c r="Y125" s="166">
        <v>257.15153600000002</v>
      </c>
      <c r="Z125" s="166">
        <v>209.14115200000001</v>
      </c>
    </row>
    <row r="126" spans="1:26">
      <c r="A126" s="292" t="s">
        <v>219</v>
      </c>
      <c r="B126" s="166">
        <v>0</v>
      </c>
      <c r="C126" s="166">
        <v>0</v>
      </c>
      <c r="D126" s="166">
        <v>0</v>
      </c>
      <c r="E126" s="166">
        <v>0</v>
      </c>
      <c r="F126" s="166">
        <v>0</v>
      </c>
      <c r="G126" s="166">
        <v>0</v>
      </c>
      <c r="H126" s="166">
        <v>0</v>
      </c>
      <c r="I126" s="166">
        <v>0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O126" s="166">
        <v>0</v>
      </c>
      <c r="P126" s="166">
        <v>0</v>
      </c>
      <c r="Q126" s="166">
        <v>9.9999999999999995E-7</v>
      </c>
      <c r="R126" s="166">
        <v>0</v>
      </c>
      <c r="S126" s="166">
        <v>0</v>
      </c>
      <c r="T126" s="166">
        <v>0</v>
      </c>
      <c r="U126" s="166">
        <v>0</v>
      </c>
      <c r="V126" s="166">
        <v>0</v>
      </c>
      <c r="W126" s="166">
        <v>0</v>
      </c>
      <c r="X126" s="166">
        <v>0</v>
      </c>
      <c r="Y126" s="166">
        <v>0</v>
      </c>
      <c r="Z126" s="166">
        <v>0</v>
      </c>
    </row>
    <row r="127" spans="1:26">
      <c r="A127" s="292" t="s">
        <v>11</v>
      </c>
      <c r="B127" s="166">
        <v>1635.0450960000001</v>
      </c>
      <c r="C127" s="166">
        <v>2713.2663069999999</v>
      </c>
      <c r="D127" s="166">
        <v>2914.4289709999998</v>
      </c>
      <c r="E127" s="166">
        <v>2348.2528990000001</v>
      </c>
      <c r="F127" s="166">
        <v>2264.896299</v>
      </c>
      <c r="G127" s="166">
        <v>3505.5874279999998</v>
      </c>
      <c r="H127" s="166">
        <v>4516.264698</v>
      </c>
      <c r="I127" s="166">
        <v>2796.3871949999998</v>
      </c>
      <c r="J127" s="166">
        <v>2601.0708509999999</v>
      </c>
      <c r="K127" s="166">
        <v>1974.6932469999999</v>
      </c>
      <c r="L127" s="166">
        <v>2023.70488</v>
      </c>
      <c r="M127" s="166">
        <v>2692.3510759999999</v>
      </c>
      <c r="N127" s="166">
        <v>3981.0300649999999</v>
      </c>
      <c r="O127" s="166">
        <v>3578.6064449999999</v>
      </c>
      <c r="P127" s="166">
        <v>3538.346309</v>
      </c>
      <c r="Q127" s="166">
        <v>3151.5799659999998</v>
      </c>
      <c r="R127" s="166">
        <v>4581.486911</v>
      </c>
      <c r="S127" s="166">
        <v>3588.4775730000001</v>
      </c>
      <c r="T127" s="166">
        <v>4302.7353249999996</v>
      </c>
      <c r="U127" s="166">
        <v>3511.7983129999998</v>
      </c>
      <c r="V127" s="166">
        <v>2253.7640289999999</v>
      </c>
      <c r="W127" s="166">
        <v>2784.9373479999999</v>
      </c>
      <c r="X127" s="166">
        <v>2318.3345260000001</v>
      </c>
      <c r="Y127" s="166">
        <v>2561.0188589999998</v>
      </c>
      <c r="Z127" s="166">
        <v>3233.6205610000002</v>
      </c>
    </row>
    <row r="128" spans="1:26">
      <c r="A128" s="292" t="s">
        <v>5</v>
      </c>
      <c r="B128" s="166">
        <v>4309.2216589999998</v>
      </c>
      <c r="C128" s="166">
        <v>4060.6748659999998</v>
      </c>
      <c r="D128" s="166">
        <v>3750.9727419999999</v>
      </c>
      <c r="E128" s="166">
        <v>4497.1104729999997</v>
      </c>
      <c r="F128" s="166">
        <v>5574.7352769999998</v>
      </c>
      <c r="G128" s="166">
        <v>4800.3477030000004</v>
      </c>
      <c r="H128" s="166">
        <v>5193.8555370000004</v>
      </c>
      <c r="I128" s="166">
        <v>7491.7215059999999</v>
      </c>
      <c r="J128" s="166">
        <v>3639.7221589999999</v>
      </c>
      <c r="K128" s="166">
        <v>6667.4705590000003</v>
      </c>
      <c r="L128" s="166">
        <v>4253.7995529999998</v>
      </c>
      <c r="M128" s="166">
        <v>3374.8241200000002</v>
      </c>
      <c r="N128" s="166">
        <v>3077.2193400000001</v>
      </c>
      <c r="O128" s="166">
        <v>4437.6775129999996</v>
      </c>
      <c r="P128" s="166">
        <v>3605.133077</v>
      </c>
      <c r="Q128" s="166">
        <v>3947.6487539999998</v>
      </c>
      <c r="R128" s="166">
        <v>4485.1206149999998</v>
      </c>
      <c r="S128" s="166">
        <v>7058.5018890000001</v>
      </c>
      <c r="T128" s="166">
        <v>5344.3112639999999</v>
      </c>
      <c r="U128" s="166">
        <v>8171.1432119999999</v>
      </c>
      <c r="V128" s="166">
        <v>6253.9282720000001</v>
      </c>
      <c r="W128" s="166">
        <v>5093.9981690000004</v>
      </c>
      <c r="X128" s="166">
        <v>3792.3392530000001</v>
      </c>
      <c r="Y128" s="166">
        <v>3294.9167109999999</v>
      </c>
      <c r="Z128" s="166">
        <v>3745.7366740000002</v>
      </c>
    </row>
    <row r="129" spans="1:26">
      <c r="A129" s="292" t="s">
        <v>6</v>
      </c>
      <c r="B129" s="166">
        <v>4688.9022109999996</v>
      </c>
      <c r="C129" s="166">
        <v>5722.9269539999996</v>
      </c>
      <c r="D129" s="166">
        <v>5291.4148279999999</v>
      </c>
      <c r="E129" s="166">
        <v>4124.5515869999999</v>
      </c>
      <c r="F129" s="166">
        <v>2725.3205229999999</v>
      </c>
      <c r="G129" s="166">
        <v>2277.0380089999999</v>
      </c>
      <c r="H129" s="166">
        <v>2441.0046040000002</v>
      </c>
      <c r="I129" s="166">
        <v>2256.9395949999998</v>
      </c>
      <c r="J129" s="166">
        <v>3139.9429399999999</v>
      </c>
      <c r="K129" s="166">
        <v>3034.5087579999999</v>
      </c>
      <c r="L129" s="166">
        <v>3995.33304</v>
      </c>
      <c r="M129" s="166">
        <v>4825.0294409999997</v>
      </c>
      <c r="N129" s="166">
        <v>5932.2778820000003</v>
      </c>
      <c r="O129" s="166">
        <v>6193.1462780000002</v>
      </c>
      <c r="P129" s="166">
        <v>5735.4531379999999</v>
      </c>
      <c r="Q129" s="166">
        <v>4954.8813920000002</v>
      </c>
      <c r="R129" s="166">
        <v>3969.608491</v>
      </c>
      <c r="S129" s="166">
        <v>3059.780131</v>
      </c>
      <c r="T129" s="166">
        <v>2201.8392009999998</v>
      </c>
      <c r="U129" s="166">
        <v>2233.5292939999999</v>
      </c>
      <c r="V129" s="166">
        <v>2506.2656480000001</v>
      </c>
      <c r="W129" s="166">
        <v>4214.4289980000003</v>
      </c>
      <c r="X129" s="166">
        <v>4954.7639339999996</v>
      </c>
      <c r="Y129" s="166">
        <v>6124.7280780000001</v>
      </c>
      <c r="Z129" s="166">
        <v>7013.336182</v>
      </c>
    </row>
    <row r="130" spans="1:26">
      <c r="A130" s="292" t="s">
        <v>7</v>
      </c>
      <c r="B130" s="166">
        <v>494.55802</v>
      </c>
      <c r="C130" s="166">
        <v>674.74307599999997</v>
      </c>
      <c r="D130" s="166">
        <v>671.16086600000006</v>
      </c>
      <c r="E130" s="166">
        <v>459.96957600000002</v>
      </c>
      <c r="F130" s="166">
        <v>153.79677899999999</v>
      </c>
      <c r="G130" s="166">
        <v>97.190021999999999</v>
      </c>
      <c r="H130" s="166">
        <v>110.530322</v>
      </c>
      <c r="I130" s="166">
        <v>88.888022000000007</v>
      </c>
      <c r="J130" s="166">
        <v>174.04370499999999</v>
      </c>
      <c r="K130" s="166">
        <v>187.268125</v>
      </c>
      <c r="L130" s="166">
        <v>311.21542899999997</v>
      </c>
      <c r="M130" s="166">
        <v>493.82251400000001</v>
      </c>
      <c r="N130" s="166">
        <v>486.22661499999998</v>
      </c>
      <c r="O130" s="166">
        <v>660.85651299999995</v>
      </c>
      <c r="P130" s="166">
        <v>488.10293799999999</v>
      </c>
      <c r="Q130" s="166">
        <v>396.08216199999998</v>
      </c>
      <c r="R130" s="166">
        <v>237.03407300000001</v>
      </c>
      <c r="S130" s="166">
        <v>110.075363</v>
      </c>
      <c r="T130" s="166">
        <v>48.384062999999998</v>
      </c>
      <c r="U130" s="166">
        <v>35.180328000000003</v>
      </c>
      <c r="V130" s="166">
        <v>132.877106</v>
      </c>
      <c r="W130" s="166">
        <v>321.98467699999998</v>
      </c>
      <c r="X130" s="166">
        <v>367.12681900000001</v>
      </c>
      <c r="Y130" s="166">
        <v>514.993244</v>
      </c>
      <c r="Z130" s="166">
        <v>622.22796100000005</v>
      </c>
    </row>
    <row r="131" spans="1:26">
      <c r="A131" s="292" t="s">
        <v>8</v>
      </c>
      <c r="B131" s="166">
        <v>329.79853700000001</v>
      </c>
      <c r="C131" s="166">
        <v>352.35558800000001</v>
      </c>
      <c r="D131" s="166">
        <v>318.10786400000001</v>
      </c>
      <c r="E131" s="166">
        <v>293.49487599999998</v>
      </c>
      <c r="F131" s="166">
        <v>275.04217199999999</v>
      </c>
      <c r="G131" s="166">
        <v>305.056352</v>
      </c>
      <c r="H131" s="166">
        <v>341.07748299999997</v>
      </c>
      <c r="I131" s="166">
        <v>339.18964699999998</v>
      </c>
      <c r="J131" s="166">
        <v>328.32011399999999</v>
      </c>
      <c r="K131" s="166">
        <v>286.15184299999999</v>
      </c>
      <c r="L131" s="166">
        <v>295.58794399999999</v>
      </c>
      <c r="M131" s="166">
        <v>325.43744199999998</v>
      </c>
      <c r="N131" s="166">
        <v>315.47904899999997</v>
      </c>
      <c r="O131" s="166">
        <v>351.02867600000002</v>
      </c>
      <c r="P131" s="166">
        <v>337.2756</v>
      </c>
      <c r="Q131" s="166">
        <v>330.89552800000001</v>
      </c>
      <c r="R131" s="166">
        <v>323.77146800000003</v>
      </c>
      <c r="S131" s="166">
        <v>315.148506</v>
      </c>
      <c r="T131" s="166">
        <v>342.665932</v>
      </c>
      <c r="U131" s="166">
        <v>318.48742099999998</v>
      </c>
      <c r="V131" s="166">
        <v>219.331121</v>
      </c>
      <c r="W131" s="166">
        <v>322.97610900000001</v>
      </c>
      <c r="X131" s="166">
        <v>284.11891000000003</v>
      </c>
      <c r="Y131" s="166">
        <v>313.42286100000001</v>
      </c>
      <c r="Z131" s="166">
        <v>335.469852</v>
      </c>
    </row>
    <row r="132" spans="1:26">
      <c r="A132" s="292" t="s">
        <v>9</v>
      </c>
      <c r="B132" s="166">
        <v>1441.0429340000001</v>
      </c>
      <c r="C132" s="166">
        <v>1476.1582149999999</v>
      </c>
      <c r="D132" s="166">
        <v>1402.103447</v>
      </c>
      <c r="E132" s="166">
        <v>1311.498208</v>
      </c>
      <c r="F132" s="166">
        <v>1229.67462</v>
      </c>
      <c r="G132" s="166">
        <v>1544.7410090000001</v>
      </c>
      <c r="H132" s="166">
        <v>1506.8375820000001</v>
      </c>
      <c r="I132" s="166">
        <v>1429.463129</v>
      </c>
      <c r="J132" s="166">
        <v>1374.9886879999999</v>
      </c>
      <c r="K132" s="166">
        <v>1155.725749</v>
      </c>
      <c r="L132" s="166">
        <v>1138.054226</v>
      </c>
      <c r="M132" s="166">
        <v>1177.1287620000001</v>
      </c>
      <c r="N132" s="166">
        <v>1373.6147100000001</v>
      </c>
      <c r="O132" s="166">
        <v>1307.633519</v>
      </c>
      <c r="P132" s="166">
        <v>1234.7954110000001</v>
      </c>
      <c r="Q132" s="166">
        <v>1270.1277889999999</v>
      </c>
      <c r="R132" s="166">
        <v>1374.8885310000001</v>
      </c>
      <c r="S132" s="166">
        <v>1228.366734</v>
      </c>
      <c r="T132" s="166">
        <v>1409.844126</v>
      </c>
      <c r="U132" s="166">
        <v>1255.9125879999999</v>
      </c>
      <c r="V132" s="166">
        <v>602.60675200000003</v>
      </c>
      <c r="W132" s="166">
        <v>624.58241899999996</v>
      </c>
      <c r="X132" s="166">
        <v>916.70173999999997</v>
      </c>
      <c r="Y132" s="166">
        <v>1118.815265</v>
      </c>
      <c r="Z132" s="166">
        <v>1131.777734</v>
      </c>
    </row>
    <row r="133" spans="1:26">
      <c r="A133" s="292" t="s">
        <v>66</v>
      </c>
      <c r="B133" s="166">
        <v>53.415584500000001</v>
      </c>
      <c r="C133" s="166">
        <v>62.396649500000002</v>
      </c>
      <c r="D133" s="166">
        <v>62.179299999999998</v>
      </c>
      <c r="E133" s="166">
        <v>59.692804500000001</v>
      </c>
      <c r="F133" s="166">
        <v>56.188988999999999</v>
      </c>
      <c r="G133" s="166">
        <v>64.965261999999996</v>
      </c>
      <c r="H133" s="166">
        <v>68.042446499999997</v>
      </c>
      <c r="I133" s="166">
        <v>55.9446005</v>
      </c>
      <c r="J133" s="166">
        <v>53.965263</v>
      </c>
      <c r="K133" s="166">
        <v>51.637242999999998</v>
      </c>
      <c r="L133" s="166">
        <v>37.176018999999997</v>
      </c>
      <c r="M133" s="166">
        <v>29.418547499999999</v>
      </c>
      <c r="N133" s="166">
        <v>23.718672000000002</v>
      </c>
      <c r="O133" s="166">
        <v>52.036873</v>
      </c>
      <c r="P133" s="166">
        <v>59.049389499999997</v>
      </c>
      <c r="Q133" s="166">
        <v>45.211658999999997</v>
      </c>
      <c r="R133" s="166">
        <v>49.534435000000002</v>
      </c>
      <c r="S133" s="166">
        <v>51.141227499999999</v>
      </c>
      <c r="T133" s="166">
        <v>59.985340000000001</v>
      </c>
      <c r="U133" s="166">
        <v>59.131662499999997</v>
      </c>
      <c r="V133" s="166">
        <v>36.8775215</v>
      </c>
      <c r="W133" s="166">
        <v>39.021422000000001</v>
      </c>
      <c r="X133" s="166">
        <v>41.4186525</v>
      </c>
      <c r="Y133" s="166">
        <v>37.339849999999998</v>
      </c>
      <c r="Z133" s="166">
        <v>50.901923500000002</v>
      </c>
    </row>
    <row r="134" spans="1:26">
      <c r="A134" s="292" t="s">
        <v>67</v>
      </c>
      <c r="B134" s="166">
        <v>92.371871499999997</v>
      </c>
      <c r="C134" s="166">
        <v>121.09500749999999</v>
      </c>
      <c r="D134" s="166">
        <v>140.658547</v>
      </c>
      <c r="E134" s="166">
        <v>118.93706349999999</v>
      </c>
      <c r="F134" s="166">
        <v>120.82929900000001</v>
      </c>
      <c r="G134" s="166">
        <v>115.188242</v>
      </c>
      <c r="H134" s="166">
        <v>111.3057175</v>
      </c>
      <c r="I134" s="166">
        <v>91.652014500000007</v>
      </c>
      <c r="J134" s="166">
        <v>88.413910999999999</v>
      </c>
      <c r="K134" s="166">
        <v>75.856033999999994</v>
      </c>
      <c r="L134" s="166">
        <v>55.550089999999997</v>
      </c>
      <c r="M134" s="166">
        <v>41.183926499999998</v>
      </c>
      <c r="N134" s="166">
        <v>58.682316999999998</v>
      </c>
      <c r="O134" s="166">
        <v>83.450536</v>
      </c>
      <c r="P134" s="166">
        <v>93.167946499999999</v>
      </c>
      <c r="Q134" s="166">
        <v>69.587221</v>
      </c>
      <c r="R134" s="166">
        <v>85.204098999999999</v>
      </c>
      <c r="S134" s="166">
        <v>85.869997499999997</v>
      </c>
      <c r="T134" s="166">
        <v>93.230959999999996</v>
      </c>
      <c r="U134" s="166">
        <v>81.796972499999995</v>
      </c>
      <c r="V134" s="166">
        <v>53.673181499999998</v>
      </c>
      <c r="W134" s="166">
        <v>58.489105000000002</v>
      </c>
      <c r="X134" s="166">
        <v>65.732164499999996</v>
      </c>
      <c r="Y134" s="166">
        <v>61.533473999999998</v>
      </c>
      <c r="Z134" s="166">
        <v>72.343810500000004</v>
      </c>
    </row>
    <row r="135" spans="1:26">
      <c r="A135" s="251" t="s">
        <v>10</v>
      </c>
      <c r="B135" s="316">
        <v>20039.046519398998</v>
      </c>
      <c r="C135" s="316">
        <v>22643.097116083001</v>
      </c>
      <c r="D135" s="316">
        <v>21712.831533680001</v>
      </c>
      <c r="E135" s="316">
        <v>20183.280323133</v>
      </c>
      <c r="F135" s="316">
        <v>20244.346841746999</v>
      </c>
      <c r="G135" s="316">
        <v>19360.429009164</v>
      </c>
      <c r="H135" s="316">
        <v>21319.196633953001</v>
      </c>
      <c r="I135" s="316">
        <v>23203.957022907001</v>
      </c>
      <c r="J135" s="316">
        <v>20550.294079928</v>
      </c>
      <c r="K135" s="316">
        <v>22654.815628352</v>
      </c>
      <c r="L135" s="316">
        <v>19180.038487395999</v>
      </c>
      <c r="M135" s="316">
        <v>19746.164537207998</v>
      </c>
      <c r="N135" s="316">
        <v>21908.080579336001</v>
      </c>
      <c r="O135" s="316">
        <v>23845.278733153002</v>
      </c>
      <c r="P135" s="316">
        <v>22145.819473510001</v>
      </c>
      <c r="Q135" s="316">
        <v>20504.959338519999</v>
      </c>
      <c r="R135" s="316">
        <v>20791.412514428001</v>
      </c>
      <c r="S135" s="316">
        <v>21429.14511632</v>
      </c>
      <c r="T135" s="316">
        <v>22160.262832093998</v>
      </c>
      <c r="U135" s="316">
        <v>24332.081727552999</v>
      </c>
      <c r="V135" s="316">
        <v>20734.951209701001</v>
      </c>
      <c r="W135" s="316">
        <v>21925.300650538</v>
      </c>
      <c r="X135" s="316">
        <v>19303.290868806002</v>
      </c>
      <c r="Y135" s="316">
        <v>20753.105338972</v>
      </c>
      <c r="Z135" s="316">
        <v>22993.311329994001</v>
      </c>
    </row>
    <row r="136" spans="1:26">
      <c r="A136" s="292" t="s">
        <v>78</v>
      </c>
      <c r="B136" s="166">
        <v>503.334269565</v>
      </c>
      <c r="C136" s="166">
        <v>456.98275017200001</v>
      </c>
      <c r="D136" s="166">
        <v>426.90396357600002</v>
      </c>
      <c r="E136" s="166">
        <v>423.17667913899999</v>
      </c>
      <c r="F136" s="166">
        <v>341.07852178100001</v>
      </c>
      <c r="G136" s="166">
        <v>269.729903068</v>
      </c>
      <c r="H136" s="166">
        <v>359.481327975</v>
      </c>
      <c r="I136" s="166">
        <v>420.38307831700001</v>
      </c>
      <c r="J136" s="166">
        <v>369.20811204799998</v>
      </c>
      <c r="K136" s="166">
        <v>426.792561396</v>
      </c>
      <c r="L136" s="166">
        <v>577.09596771600002</v>
      </c>
      <c r="M136" s="166">
        <v>632.717653176</v>
      </c>
      <c r="N136" s="166">
        <v>477.09177458400001</v>
      </c>
      <c r="O136" s="166">
        <v>534.74221343099998</v>
      </c>
      <c r="P136" s="166">
        <v>575.76965884200001</v>
      </c>
      <c r="Q136" s="166">
        <v>539.29246899999998</v>
      </c>
      <c r="R136" s="166">
        <v>493.89782556400002</v>
      </c>
      <c r="S136" s="166">
        <v>465.338452448</v>
      </c>
      <c r="T136" s="166">
        <v>373.691896052</v>
      </c>
      <c r="U136" s="166">
        <v>432.58889631099998</v>
      </c>
      <c r="V136" s="166">
        <v>478.85306402100002</v>
      </c>
      <c r="W136" s="166">
        <v>592.49212291900005</v>
      </c>
      <c r="X136" s="166">
        <v>714.93459475700001</v>
      </c>
      <c r="Y136" s="166">
        <v>697.54920490799998</v>
      </c>
      <c r="Z136" s="166">
        <v>632.53847960400003</v>
      </c>
    </row>
    <row r="137" spans="1:26">
      <c r="A137" s="292" t="s">
        <v>115</v>
      </c>
      <c r="B137" s="166">
        <v>-791.00358811399997</v>
      </c>
      <c r="C137" s="166">
        <v>-645.31335691100003</v>
      </c>
      <c r="D137" s="166">
        <v>-661.36466610000002</v>
      </c>
      <c r="E137" s="166">
        <v>-701.35951179999995</v>
      </c>
      <c r="F137" s="166">
        <v>-528.09072713800003</v>
      </c>
      <c r="G137" s="166">
        <v>-419.49846351999997</v>
      </c>
      <c r="H137" s="166">
        <v>-574.54055303200005</v>
      </c>
      <c r="I137" s="166">
        <v>-753.55384100000003</v>
      </c>
      <c r="J137" s="166">
        <v>-511.27733405599997</v>
      </c>
      <c r="K137" s="166">
        <v>-779.77098613400005</v>
      </c>
      <c r="L137" s="166">
        <v>-963.43647009699998</v>
      </c>
      <c r="M137" s="166">
        <v>-936.56374595299997</v>
      </c>
      <c r="N137" s="166">
        <v>-718.62000988199998</v>
      </c>
      <c r="O137" s="166">
        <v>-803.21347497099998</v>
      </c>
      <c r="P137" s="166">
        <v>-846.41290735999996</v>
      </c>
      <c r="Q137" s="166">
        <v>-800.34021899200002</v>
      </c>
      <c r="R137" s="166">
        <v>-742.29389290500001</v>
      </c>
      <c r="S137" s="166">
        <v>-744.83186728099997</v>
      </c>
      <c r="T137" s="166">
        <v>-553.64316556599999</v>
      </c>
      <c r="U137" s="166">
        <v>-750.778886199</v>
      </c>
      <c r="V137" s="166">
        <v>-916.09621200000004</v>
      </c>
      <c r="W137" s="166">
        <v>-898.57029618199999</v>
      </c>
      <c r="X137" s="166">
        <v>-1041.8250329479999</v>
      </c>
      <c r="Y137" s="166">
        <v>-1096.7325026399999</v>
      </c>
      <c r="Z137" s="166">
        <v>-999.24857099999997</v>
      </c>
    </row>
    <row r="138" spans="1:26">
      <c r="A138" s="292" t="s">
        <v>193</v>
      </c>
      <c r="B138" s="166">
        <v>0.59671600000000002</v>
      </c>
      <c r="C138" s="166">
        <v>0.74632600000000004</v>
      </c>
      <c r="D138" s="166">
        <v>0.98375599999999996</v>
      </c>
      <c r="E138" s="166">
        <v>0.67263899999999999</v>
      </c>
      <c r="F138" s="166">
        <v>1.07081</v>
      </c>
      <c r="G138" s="166">
        <v>1.3666769999999999</v>
      </c>
      <c r="H138" s="166">
        <v>0.59266399999999997</v>
      </c>
      <c r="I138" s="166">
        <v>0.77196299999999995</v>
      </c>
      <c r="J138" s="166">
        <v>0.50680899999999995</v>
      </c>
      <c r="K138" s="166">
        <v>0.407918</v>
      </c>
      <c r="L138" s="166">
        <v>0.45009300000000002</v>
      </c>
      <c r="M138" s="166">
        <v>0.81009699999999996</v>
      </c>
      <c r="N138" s="166">
        <v>0.72564399999999996</v>
      </c>
      <c r="O138" s="166">
        <v>0.82291599999999998</v>
      </c>
      <c r="P138" s="166">
        <v>0.51392599999999999</v>
      </c>
      <c r="Q138" s="166">
        <v>0.60081499999999999</v>
      </c>
      <c r="R138" s="166">
        <v>0.49851800000000002</v>
      </c>
      <c r="S138" s="166">
        <v>0.502332</v>
      </c>
      <c r="T138" s="166">
        <v>0.79705999999999999</v>
      </c>
      <c r="U138" s="166">
        <v>0.91577299999999995</v>
      </c>
      <c r="V138" s="166">
        <v>1.0965149999999999</v>
      </c>
      <c r="W138" s="166">
        <v>1.485781</v>
      </c>
      <c r="X138" s="166">
        <v>1.4232400000000001</v>
      </c>
      <c r="Y138" s="166">
        <v>1.50038</v>
      </c>
      <c r="Z138" s="166">
        <v>1.344233</v>
      </c>
    </row>
    <row r="139" spans="1:26">
      <c r="A139" s="292" t="s">
        <v>194</v>
      </c>
      <c r="B139" s="166">
        <v>-0.75924700000000001</v>
      </c>
      <c r="C139" s="166">
        <v>-0.92569500000000005</v>
      </c>
      <c r="D139" s="166">
        <v>-1.2036789999999999</v>
      </c>
      <c r="E139" s="166">
        <v>-0.82619799999999999</v>
      </c>
      <c r="F139" s="166">
        <v>-1.287288</v>
      </c>
      <c r="G139" s="166">
        <v>-1.6128800000000001</v>
      </c>
      <c r="H139" s="166">
        <v>-0.73918799999999996</v>
      </c>
      <c r="I139" s="166">
        <v>-0.93555100000000002</v>
      </c>
      <c r="J139" s="166">
        <v>-0.61304400000000003</v>
      </c>
      <c r="K139" s="166">
        <v>-0.51410500000000003</v>
      </c>
      <c r="L139" s="166">
        <v>-0.57174800000000003</v>
      </c>
      <c r="M139" s="166">
        <v>-0.99739500000000003</v>
      </c>
      <c r="N139" s="166">
        <v>-0.90635600000000005</v>
      </c>
      <c r="O139" s="166">
        <v>-1.0079309999999999</v>
      </c>
      <c r="P139" s="166">
        <v>-0.66731700000000005</v>
      </c>
      <c r="Q139" s="166">
        <v>-0.77025299999999997</v>
      </c>
      <c r="R139" s="166">
        <v>-0.64426600000000001</v>
      </c>
      <c r="S139" s="166">
        <v>-0.63808799999999999</v>
      </c>
      <c r="T139" s="166">
        <v>-0.99353100000000005</v>
      </c>
      <c r="U139" s="166">
        <v>-1.1298410000000001</v>
      </c>
      <c r="V139" s="166">
        <v>-1.2753190000000001</v>
      </c>
      <c r="W139" s="166">
        <v>-1.7680640000000001</v>
      </c>
      <c r="X139" s="166">
        <v>-1.699635</v>
      </c>
      <c r="Y139" s="166">
        <v>-1.797998</v>
      </c>
      <c r="Z139" s="166">
        <v>-1.6204069999999999</v>
      </c>
    </row>
    <row r="140" spans="1:26">
      <c r="A140" s="292" t="s">
        <v>92</v>
      </c>
      <c r="B140" s="166">
        <v>-145.36358899999999</v>
      </c>
      <c r="C140" s="166">
        <v>-208.454387</v>
      </c>
      <c r="D140" s="166">
        <v>-187.956546</v>
      </c>
      <c r="E140" s="166">
        <v>-162.00915900000001</v>
      </c>
      <c r="F140" s="166">
        <v>-144.54443599999999</v>
      </c>
      <c r="G140" s="166">
        <v>-78.195680999999993</v>
      </c>
      <c r="H140" s="166">
        <v>-77.984769</v>
      </c>
      <c r="I140" s="166">
        <v>-85.443509000000006</v>
      </c>
      <c r="J140" s="166">
        <v>-90.795297000000005</v>
      </c>
      <c r="K140" s="166">
        <v>-113.220591</v>
      </c>
      <c r="L140" s="166">
        <v>-85.306027</v>
      </c>
      <c r="M140" s="166">
        <v>-110.447626</v>
      </c>
      <c r="N140" s="166">
        <v>-171.035324</v>
      </c>
      <c r="O140" s="166">
        <v>-188.42781500000001</v>
      </c>
      <c r="P140" s="166">
        <v>-208.61120199999999</v>
      </c>
      <c r="Q140" s="166">
        <v>-166.21217300000001</v>
      </c>
      <c r="R140" s="166">
        <v>-119.248762</v>
      </c>
      <c r="S140" s="166">
        <v>-76.900411000000005</v>
      </c>
      <c r="T140" s="166">
        <v>-120.18883599999999</v>
      </c>
      <c r="U140" s="166">
        <v>-138.53626600000001</v>
      </c>
      <c r="V140" s="166">
        <v>-102.627172</v>
      </c>
      <c r="W140" s="166">
        <v>-104.897592</v>
      </c>
      <c r="X140" s="166">
        <v>-97.533116000000007</v>
      </c>
      <c r="Y140" s="166">
        <v>-113.97348</v>
      </c>
      <c r="Z140" s="166">
        <v>-154.19043300000001</v>
      </c>
    </row>
    <row r="141" spans="1:26">
      <c r="A141" s="292" t="s">
        <v>116</v>
      </c>
      <c r="B141" s="166">
        <v>-1232.9152309999999</v>
      </c>
      <c r="C141" s="166">
        <v>-962.85409500000003</v>
      </c>
      <c r="D141" s="166">
        <v>-399.77361300000001</v>
      </c>
      <c r="E141" s="166">
        <v>-1131.7862789999999</v>
      </c>
      <c r="F141" s="166">
        <v>-889.26918699999999</v>
      </c>
      <c r="G141" s="166">
        <v>-389.55340799999999</v>
      </c>
      <c r="H141" s="166">
        <v>-594.41984200000002</v>
      </c>
      <c r="I141" s="166">
        <v>-1098.011843</v>
      </c>
      <c r="J141" s="166">
        <v>-1182.1379099999999</v>
      </c>
      <c r="K141" s="166">
        <v>-1536.7831679999999</v>
      </c>
      <c r="L141" s="166">
        <v>-1081.124532</v>
      </c>
      <c r="M141" s="166">
        <v>-1001.582994</v>
      </c>
      <c r="N141" s="166">
        <v>-1002.501307</v>
      </c>
      <c r="O141" s="166">
        <v>-1419.6650689999999</v>
      </c>
      <c r="P141" s="166">
        <v>-941.57377499999996</v>
      </c>
      <c r="Q141" s="166">
        <v>-676.23415</v>
      </c>
      <c r="R141" s="166">
        <v>-1283.5719449999999</v>
      </c>
      <c r="S141" s="166">
        <v>-1184.280362</v>
      </c>
      <c r="T141" s="166">
        <v>-387.09038199999998</v>
      </c>
      <c r="U141" s="166">
        <v>-1066.95174</v>
      </c>
      <c r="V141" s="166">
        <v>-723.06382499999995</v>
      </c>
      <c r="W141" s="166">
        <v>-1310.7119620000001</v>
      </c>
      <c r="X141" s="166">
        <v>-1077.066092</v>
      </c>
      <c r="Y141" s="166">
        <v>-1391.9435269999999</v>
      </c>
      <c r="Z141" s="166">
        <v>-1623.4498639999999</v>
      </c>
    </row>
    <row r="142" spans="1:26">
      <c r="A142" s="251" t="s">
        <v>117</v>
      </c>
      <c r="B142" s="316">
        <v>18372.935849850001</v>
      </c>
      <c r="C142" s="316">
        <v>21283.278658343999</v>
      </c>
      <c r="D142" s="316">
        <v>20890.420749156001</v>
      </c>
      <c r="E142" s="316">
        <v>18611.148493471999</v>
      </c>
      <c r="F142" s="316">
        <v>19023.304535390002</v>
      </c>
      <c r="G142" s="316">
        <v>18742.665156711999</v>
      </c>
      <c r="H142" s="316">
        <v>20431.586273895999</v>
      </c>
      <c r="I142" s="316">
        <v>21687.167320224002</v>
      </c>
      <c r="J142" s="316">
        <v>19135.185415920001</v>
      </c>
      <c r="K142" s="316">
        <v>20651.727257613999</v>
      </c>
      <c r="L142" s="316">
        <v>17627.145771014999</v>
      </c>
      <c r="M142" s="316">
        <v>18330.100526431001</v>
      </c>
      <c r="N142" s="316">
        <v>20492.835001038002</v>
      </c>
      <c r="O142" s="316">
        <v>21968.529572612999</v>
      </c>
      <c r="P142" s="316">
        <v>20724.837856991999</v>
      </c>
      <c r="Q142" s="316">
        <v>19401.295827528</v>
      </c>
      <c r="R142" s="316">
        <v>19140.049992086999</v>
      </c>
      <c r="S142" s="316">
        <v>19888.335172487001</v>
      </c>
      <c r="T142" s="316">
        <v>21472.835873579999</v>
      </c>
      <c r="U142" s="316">
        <v>22808.189663665002</v>
      </c>
      <c r="V142" s="316">
        <v>19471.838260722001</v>
      </c>
      <c r="W142" s="316">
        <v>20203.330640274999</v>
      </c>
      <c r="X142" s="316">
        <v>17801.524827615001</v>
      </c>
      <c r="Y142" s="316">
        <v>18847.707416239999</v>
      </c>
      <c r="Z142" s="316">
        <v>20848.684767597999</v>
      </c>
    </row>
    <row r="144" spans="1:26" s="173" customFormat="1">
      <c r="A144" s="179" t="s">
        <v>28</v>
      </c>
      <c r="B144" s="179" t="str">
        <f>MID(UPPER(TEXT(B145,"mmm")),1,1)</f>
        <v>J</v>
      </c>
      <c r="C144" s="179" t="str">
        <f t="shared" ref="C144:N144" si="6">MID(UPPER(TEXT(C145,"mmm")),1,1)</f>
        <v>J</v>
      </c>
      <c r="D144" s="179" t="str">
        <f t="shared" si="6"/>
        <v>A</v>
      </c>
      <c r="E144" s="179" t="str">
        <f t="shared" si="6"/>
        <v>S</v>
      </c>
      <c r="F144" s="179" t="str">
        <f t="shared" si="6"/>
        <v>O</v>
      </c>
      <c r="G144" s="179" t="str">
        <f t="shared" si="6"/>
        <v>N</v>
      </c>
      <c r="H144" s="179" t="str">
        <f t="shared" si="6"/>
        <v>D</v>
      </c>
      <c r="I144" s="179" t="str">
        <f t="shared" si="6"/>
        <v>E</v>
      </c>
      <c r="J144" s="179" t="str">
        <f t="shared" si="6"/>
        <v>F</v>
      </c>
      <c r="K144" s="179" t="str">
        <f t="shared" si="6"/>
        <v>M</v>
      </c>
      <c r="L144" s="179" t="str">
        <f t="shared" si="6"/>
        <v>A</v>
      </c>
      <c r="M144" s="179" t="str">
        <f t="shared" si="6"/>
        <v>M</v>
      </c>
      <c r="N144" s="179" t="str">
        <f t="shared" si="6"/>
        <v>J</v>
      </c>
      <c r="O144"/>
      <c r="P144"/>
      <c r="Q144"/>
      <c r="R144"/>
      <c r="S144"/>
      <c r="T144"/>
      <c r="U144"/>
      <c r="V144"/>
      <c r="W144"/>
      <c r="X144"/>
      <c r="Y144"/>
      <c r="Z144"/>
    </row>
    <row r="145" spans="1:15" s="173" customFormat="1" ht="12">
      <c r="A145" s="179" t="s">
        <v>106</v>
      </c>
      <c r="B145" s="179" t="str">
        <f>TEXT(EDATE(C145,-1),"mmmm aaaa")</f>
        <v>junio 2025</v>
      </c>
      <c r="C145" s="179" t="str">
        <f t="shared" ref="C145:M145" si="7">TEXT(EDATE(D145,-1),"mmmm aaaa")</f>
        <v>julio 2025</v>
      </c>
      <c r="D145" s="179" t="str">
        <f t="shared" si="7"/>
        <v>agosto 2025</v>
      </c>
      <c r="E145" s="179" t="str">
        <f t="shared" si="7"/>
        <v>septiembre 2025</v>
      </c>
      <c r="F145" s="179" t="str">
        <f t="shared" si="7"/>
        <v>octubre 2025</v>
      </c>
      <c r="G145" s="179" t="str">
        <f t="shared" si="7"/>
        <v>noviembre 2025</v>
      </c>
      <c r="H145" s="179" t="str">
        <f t="shared" si="7"/>
        <v>diciembre 2025</v>
      </c>
      <c r="I145" s="179" t="str">
        <f t="shared" si="7"/>
        <v>enero 2026</v>
      </c>
      <c r="J145" s="179" t="str">
        <f t="shared" si="7"/>
        <v>febrero 2026</v>
      </c>
      <c r="K145" s="179" t="str">
        <f t="shared" si="7"/>
        <v>marzo 2026</v>
      </c>
      <c r="L145" s="179" t="str">
        <f t="shared" si="7"/>
        <v>abril 2026</v>
      </c>
      <c r="M145" s="179" t="str">
        <f t="shared" si="7"/>
        <v>mayo 2026</v>
      </c>
      <c r="N145" s="179" t="str">
        <f>A2</f>
        <v>Junio 2026</v>
      </c>
    </row>
    <row r="146" spans="1:15" s="176" customFormat="1" ht="12">
      <c r="A146" s="174" t="s">
        <v>2</v>
      </c>
      <c r="B146" s="175">
        <f>HLOOKUP(B$145,$120:$142,3,FALSE)</f>
        <v>2409.3098923359998</v>
      </c>
      <c r="C146" s="175">
        <f t="shared" ref="C146:N146" si="8">HLOOKUP(C$145,$120:$142,3,FALSE)</f>
        <v>1903.303893153</v>
      </c>
      <c r="D146" s="175">
        <f t="shared" si="8"/>
        <v>1795.39028151</v>
      </c>
      <c r="E146" s="175">
        <f t="shared" si="8"/>
        <v>1608.4303145199999</v>
      </c>
      <c r="F146" s="175">
        <f t="shared" si="8"/>
        <v>1758.8319904279999</v>
      </c>
      <c r="G146" s="175">
        <f t="shared" si="8"/>
        <v>2029.22533232</v>
      </c>
      <c r="H146" s="175">
        <f t="shared" si="8"/>
        <v>3248.7659010940001</v>
      </c>
      <c r="I146" s="175">
        <f t="shared" si="8"/>
        <v>3209.7253025529999</v>
      </c>
      <c r="J146" s="175">
        <f t="shared" si="8"/>
        <v>4434.768453701</v>
      </c>
      <c r="K146" s="175">
        <f t="shared" si="8"/>
        <v>4321.8610615380003</v>
      </c>
      <c r="L146" s="175">
        <f t="shared" si="8"/>
        <v>2464.6633628059999</v>
      </c>
      <c r="M146" s="175">
        <f t="shared" si="8"/>
        <v>2629.3625649720002</v>
      </c>
      <c r="N146" s="175">
        <f t="shared" si="8"/>
        <v>2108.1172669940001</v>
      </c>
    </row>
    <row r="147" spans="1:15" s="176" customFormat="1" ht="12">
      <c r="A147" s="174" t="s">
        <v>3</v>
      </c>
      <c r="B147" s="175">
        <f>HLOOKUP(B$145,$120:$142,4,FALSE)</f>
        <v>4096.3802539999997</v>
      </c>
      <c r="C147" s="175">
        <f t="shared" ref="C147:N147" si="9">HLOOKUP(C$145,$120:$142,4,FALSE)</f>
        <v>5062.9826640000001</v>
      </c>
      <c r="D147" s="175">
        <f t="shared" si="9"/>
        <v>5094.8395760000003</v>
      </c>
      <c r="E147" s="175">
        <f t="shared" si="9"/>
        <v>4538.2160970000004</v>
      </c>
      <c r="F147" s="175">
        <f t="shared" si="9"/>
        <v>3695.7997660000001</v>
      </c>
      <c r="G147" s="175">
        <f t="shared" si="9"/>
        <v>3682.6770540000002</v>
      </c>
      <c r="H147" s="175">
        <f t="shared" si="9"/>
        <v>4820.1998670000003</v>
      </c>
      <c r="I147" s="175">
        <f t="shared" si="9"/>
        <v>5248.5547820000002</v>
      </c>
      <c r="J147" s="175">
        <f t="shared" si="9"/>
        <v>4031.6053809999999</v>
      </c>
      <c r="K147" s="175">
        <f t="shared" si="9"/>
        <v>3921.0966309999999</v>
      </c>
      <c r="L147" s="175">
        <f t="shared" si="9"/>
        <v>3891.829761</v>
      </c>
      <c r="M147" s="175">
        <f t="shared" si="9"/>
        <v>3758.5657219999998</v>
      </c>
      <c r="N147" s="175">
        <f t="shared" si="9"/>
        <v>4457.5635389999998</v>
      </c>
    </row>
    <row r="148" spans="1:15" s="176" customFormat="1" ht="12">
      <c r="A148" s="174" t="s">
        <v>4</v>
      </c>
      <c r="B148" s="175">
        <f>HLOOKUP(B$145,$120:$142,5,FALSE)</f>
        <v>154.141783</v>
      </c>
      <c r="C148" s="175">
        <f t="shared" ref="C148:N148" si="10">HLOOKUP(C$145,$120:$142,5,FALSE)</f>
        <v>105.938849</v>
      </c>
      <c r="D148" s="175">
        <f t="shared" si="10"/>
        <v>1.1E-4</v>
      </c>
      <c r="E148" s="175">
        <f t="shared" si="10"/>
        <v>7.238918</v>
      </c>
      <c r="F148" s="175">
        <f t="shared" si="10"/>
        <v>20.979158999999999</v>
      </c>
      <c r="G148" s="175">
        <f t="shared" si="10"/>
        <v>5.3887809999999998</v>
      </c>
      <c r="H148" s="175">
        <f t="shared" si="10"/>
        <v>46.750101000000001</v>
      </c>
      <c r="I148" s="175">
        <f t="shared" si="10"/>
        <v>20.188559000000001</v>
      </c>
      <c r="J148" s="175">
        <f t="shared" si="10"/>
        <v>1.0399999999999999E-4</v>
      </c>
      <c r="K148" s="175">
        <f t="shared" si="10"/>
        <v>13.306047</v>
      </c>
      <c r="L148" s="175">
        <f t="shared" si="10"/>
        <v>1.06E-4</v>
      </c>
      <c r="M148" s="175">
        <f t="shared" si="10"/>
        <v>81.257174000000006</v>
      </c>
      <c r="N148" s="175">
        <f t="shared" si="10"/>
        <v>13.074674</v>
      </c>
    </row>
    <row r="149" spans="1:15" s="176" customFormat="1" ht="12">
      <c r="A149" s="174" t="s">
        <v>135</v>
      </c>
      <c r="B149" s="175">
        <f>HLOOKUP(B$145,$120:$142,6,FALSE)</f>
        <v>0</v>
      </c>
      <c r="C149" s="175">
        <f t="shared" ref="C149:N149" si="11">HLOOKUP(C$145,$120:$142,6,FALSE)</f>
        <v>108.616974</v>
      </c>
      <c r="D149" s="175">
        <f t="shared" si="11"/>
        <v>164.26569699999999</v>
      </c>
      <c r="E149" s="175">
        <f t="shared" si="11"/>
        <v>185.05953700000001</v>
      </c>
      <c r="F149" s="175">
        <f t="shared" si="11"/>
        <v>209.152976</v>
      </c>
      <c r="G149" s="175">
        <f t="shared" si="11"/>
        <v>214.49252799999999</v>
      </c>
      <c r="H149" s="175">
        <f t="shared" si="11"/>
        <v>241.55075199999999</v>
      </c>
      <c r="I149" s="175">
        <f t="shared" si="11"/>
        <v>186.63329300000001</v>
      </c>
      <c r="J149" s="175">
        <f t="shared" si="11"/>
        <v>209.25363999999999</v>
      </c>
      <c r="K149" s="175">
        <f t="shared" si="11"/>
        <v>208.618664</v>
      </c>
      <c r="L149" s="175">
        <f t="shared" si="11"/>
        <v>206.26164</v>
      </c>
      <c r="M149" s="175">
        <f t="shared" si="11"/>
        <v>257.15153600000002</v>
      </c>
      <c r="N149" s="175">
        <f t="shared" si="11"/>
        <v>209.14115200000001</v>
      </c>
    </row>
    <row r="150" spans="1:15" s="176" customFormat="1" ht="12">
      <c r="A150" s="174" t="s">
        <v>11</v>
      </c>
      <c r="B150" s="175">
        <f>HLOOKUP(B$145,$120:$142,8,FALSE)</f>
        <v>3981.0300649999999</v>
      </c>
      <c r="C150" s="175">
        <f t="shared" ref="C150:N150" si="12">HLOOKUP(C$145,$120:$142,8,FALSE)</f>
        <v>3578.6064449999999</v>
      </c>
      <c r="D150" s="175">
        <f t="shared" si="12"/>
        <v>3538.346309</v>
      </c>
      <c r="E150" s="175">
        <f t="shared" si="12"/>
        <v>3151.5799659999998</v>
      </c>
      <c r="F150" s="175">
        <f t="shared" si="12"/>
        <v>4581.486911</v>
      </c>
      <c r="G150" s="175">
        <f t="shared" si="12"/>
        <v>3588.4775730000001</v>
      </c>
      <c r="H150" s="175">
        <f t="shared" si="12"/>
        <v>4302.7353249999996</v>
      </c>
      <c r="I150" s="175">
        <f t="shared" si="12"/>
        <v>3511.7983129999998</v>
      </c>
      <c r="J150" s="175">
        <f t="shared" si="12"/>
        <v>2253.7640289999999</v>
      </c>
      <c r="K150" s="175">
        <f t="shared" si="12"/>
        <v>2784.9373479999999</v>
      </c>
      <c r="L150" s="175">
        <f t="shared" si="12"/>
        <v>2318.3345260000001</v>
      </c>
      <c r="M150" s="175">
        <f t="shared" si="12"/>
        <v>2561.0188589999998</v>
      </c>
      <c r="N150" s="175">
        <f t="shared" si="12"/>
        <v>3233.6205610000002</v>
      </c>
    </row>
    <row r="151" spans="1:15" s="176" customFormat="1" ht="12">
      <c r="A151" s="174" t="s">
        <v>5</v>
      </c>
      <c r="B151" s="175">
        <f>HLOOKUP(B$145,$120:$142,9,FALSE)</f>
        <v>3077.2193400000001</v>
      </c>
      <c r="C151" s="175">
        <f t="shared" ref="C151:N151" si="13">HLOOKUP(C$145,$120:$142,9,FALSE)</f>
        <v>4437.6775129999996</v>
      </c>
      <c r="D151" s="175">
        <f t="shared" si="13"/>
        <v>3605.133077</v>
      </c>
      <c r="E151" s="175">
        <f t="shared" si="13"/>
        <v>3947.6487539999998</v>
      </c>
      <c r="F151" s="175">
        <f t="shared" si="13"/>
        <v>4485.1206149999998</v>
      </c>
      <c r="G151" s="175">
        <f t="shared" si="13"/>
        <v>7058.5018890000001</v>
      </c>
      <c r="H151" s="175">
        <f t="shared" si="13"/>
        <v>5344.3112639999999</v>
      </c>
      <c r="I151" s="175">
        <f t="shared" si="13"/>
        <v>8171.1432119999999</v>
      </c>
      <c r="J151" s="175">
        <f t="shared" si="13"/>
        <v>6253.9282720000001</v>
      </c>
      <c r="K151" s="175">
        <f t="shared" si="13"/>
        <v>5093.9981690000004</v>
      </c>
      <c r="L151" s="175">
        <f t="shared" si="13"/>
        <v>3792.3392530000001</v>
      </c>
      <c r="M151" s="175">
        <f t="shared" si="13"/>
        <v>3294.9167109999999</v>
      </c>
      <c r="N151" s="175">
        <f t="shared" si="13"/>
        <v>3745.7366740000002</v>
      </c>
    </row>
    <row r="152" spans="1:15" s="176" customFormat="1" ht="12">
      <c r="A152" s="174" t="s">
        <v>6</v>
      </c>
      <c r="B152" s="175">
        <f>HLOOKUP(B$145,$120:$142,10,FALSE)</f>
        <v>5932.2778820000003</v>
      </c>
      <c r="C152" s="175">
        <f t="shared" ref="C152:N152" si="14">HLOOKUP(C$145,$120:$142,10,FALSE)</f>
        <v>6193.1462780000002</v>
      </c>
      <c r="D152" s="175">
        <f t="shared" si="14"/>
        <v>5735.4531379999999</v>
      </c>
      <c r="E152" s="175">
        <f t="shared" si="14"/>
        <v>4954.8813920000002</v>
      </c>
      <c r="F152" s="175">
        <f t="shared" si="14"/>
        <v>3969.608491</v>
      </c>
      <c r="G152" s="175">
        <f t="shared" si="14"/>
        <v>3059.780131</v>
      </c>
      <c r="H152" s="175">
        <f t="shared" si="14"/>
        <v>2201.8392009999998</v>
      </c>
      <c r="I152" s="175">
        <f t="shared" si="14"/>
        <v>2233.5292939999999</v>
      </c>
      <c r="J152" s="175">
        <f t="shared" si="14"/>
        <v>2506.2656480000001</v>
      </c>
      <c r="K152" s="175">
        <f t="shared" si="14"/>
        <v>4214.4289980000003</v>
      </c>
      <c r="L152" s="175">
        <f t="shared" si="14"/>
        <v>4954.7639339999996</v>
      </c>
      <c r="M152" s="175">
        <f t="shared" si="14"/>
        <v>6124.7280780000001</v>
      </c>
      <c r="N152" s="175">
        <f t="shared" si="14"/>
        <v>7013.336182</v>
      </c>
    </row>
    <row r="153" spans="1:15" s="176" customFormat="1" ht="12">
      <c r="A153" s="174" t="s">
        <v>7</v>
      </c>
      <c r="B153" s="175">
        <f>HLOOKUP(B$145,$120:$142,11,FALSE)</f>
        <v>486.22661499999998</v>
      </c>
      <c r="C153" s="175">
        <f t="shared" ref="C153:N153" si="15">HLOOKUP(C$145,$120:$142,11,FALSE)</f>
        <v>660.85651299999995</v>
      </c>
      <c r="D153" s="175">
        <f t="shared" si="15"/>
        <v>488.10293799999999</v>
      </c>
      <c r="E153" s="175">
        <f t="shared" si="15"/>
        <v>396.08216199999998</v>
      </c>
      <c r="F153" s="175">
        <f t="shared" si="15"/>
        <v>237.03407300000001</v>
      </c>
      <c r="G153" s="175">
        <f t="shared" si="15"/>
        <v>110.075363</v>
      </c>
      <c r="H153" s="175">
        <f t="shared" si="15"/>
        <v>48.384062999999998</v>
      </c>
      <c r="I153" s="175">
        <f t="shared" si="15"/>
        <v>35.180328000000003</v>
      </c>
      <c r="J153" s="175">
        <f t="shared" si="15"/>
        <v>132.877106</v>
      </c>
      <c r="K153" s="175">
        <f t="shared" si="15"/>
        <v>321.98467699999998</v>
      </c>
      <c r="L153" s="175">
        <f t="shared" si="15"/>
        <v>367.12681900000001</v>
      </c>
      <c r="M153" s="175">
        <f t="shared" si="15"/>
        <v>514.993244</v>
      </c>
      <c r="N153" s="175">
        <f t="shared" si="15"/>
        <v>622.22796100000005</v>
      </c>
    </row>
    <row r="154" spans="1:15" s="176" customFormat="1" ht="12">
      <c r="A154" s="174" t="s">
        <v>8</v>
      </c>
      <c r="B154" s="175">
        <f>HLOOKUP(B$145,$120:$142,12,FALSE)</f>
        <v>315.47904899999997</v>
      </c>
      <c r="C154" s="175">
        <f t="shared" ref="C154:N154" si="16">HLOOKUP(C$145,$120:$142,12,FALSE)</f>
        <v>351.02867600000002</v>
      </c>
      <c r="D154" s="175">
        <f t="shared" si="16"/>
        <v>337.2756</v>
      </c>
      <c r="E154" s="175">
        <f t="shared" si="16"/>
        <v>330.89552800000001</v>
      </c>
      <c r="F154" s="175">
        <f t="shared" si="16"/>
        <v>323.77146800000003</v>
      </c>
      <c r="G154" s="175">
        <f t="shared" si="16"/>
        <v>315.148506</v>
      </c>
      <c r="H154" s="175">
        <f t="shared" si="16"/>
        <v>342.665932</v>
      </c>
      <c r="I154" s="175">
        <f t="shared" si="16"/>
        <v>318.48742099999998</v>
      </c>
      <c r="J154" s="175">
        <f t="shared" si="16"/>
        <v>219.331121</v>
      </c>
      <c r="K154" s="175">
        <f t="shared" si="16"/>
        <v>322.97610900000001</v>
      </c>
      <c r="L154" s="175">
        <f t="shared" si="16"/>
        <v>284.11891000000003</v>
      </c>
      <c r="M154" s="175">
        <f t="shared" si="16"/>
        <v>313.42286100000001</v>
      </c>
      <c r="N154" s="175">
        <f t="shared" si="16"/>
        <v>335.469852</v>
      </c>
    </row>
    <row r="155" spans="1:15" s="176" customFormat="1" ht="12">
      <c r="A155" s="174" t="s">
        <v>9</v>
      </c>
      <c r="B155" s="175">
        <f>HLOOKUP(B$145,$120:$142,13,FALSE)</f>
        <v>1373.6147100000001</v>
      </c>
      <c r="C155" s="175">
        <f t="shared" ref="C155:N155" si="17">HLOOKUP(C$145,$120:$142,13,FALSE)</f>
        <v>1307.633519</v>
      </c>
      <c r="D155" s="175">
        <f t="shared" si="17"/>
        <v>1234.7954110000001</v>
      </c>
      <c r="E155" s="175">
        <f t="shared" si="17"/>
        <v>1270.1277889999999</v>
      </c>
      <c r="F155" s="175">
        <f t="shared" si="17"/>
        <v>1374.8885310000001</v>
      </c>
      <c r="G155" s="175">
        <f t="shared" si="17"/>
        <v>1228.366734</v>
      </c>
      <c r="H155" s="175">
        <f t="shared" si="17"/>
        <v>1409.844126</v>
      </c>
      <c r="I155" s="175">
        <f t="shared" si="17"/>
        <v>1255.9125879999999</v>
      </c>
      <c r="J155" s="175">
        <f t="shared" si="17"/>
        <v>602.60675200000003</v>
      </c>
      <c r="K155" s="175">
        <f t="shared" si="17"/>
        <v>624.58241899999996</v>
      </c>
      <c r="L155" s="175">
        <f t="shared" si="17"/>
        <v>916.70173999999997</v>
      </c>
      <c r="M155" s="175">
        <f t="shared" si="17"/>
        <v>1118.815265</v>
      </c>
      <c r="N155" s="175">
        <f t="shared" si="17"/>
        <v>1131.777734</v>
      </c>
    </row>
    <row r="156" spans="1:15" s="176" customFormat="1" ht="12">
      <c r="A156" s="174" t="s">
        <v>67</v>
      </c>
      <c r="B156" s="175">
        <f>HLOOKUP(B$145,$120:$142,15,FALSE)</f>
        <v>58.682316999999998</v>
      </c>
      <c r="C156" s="175">
        <f t="shared" ref="C156:N156" si="18">HLOOKUP(C$145,$120:$142,15,FALSE)</f>
        <v>83.450536</v>
      </c>
      <c r="D156" s="175">
        <f t="shared" si="18"/>
        <v>93.167946499999999</v>
      </c>
      <c r="E156" s="175">
        <f t="shared" si="18"/>
        <v>69.587221</v>
      </c>
      <c r="F156" s="175">
        <f t="shared" si="18"/>
        <v>85.204098999999999</v>
      </c>
      <c r="G156" s="175">
        <f t="shared" si="18"/>
        <v>85.869997499999997</v>
      </c>
      <c r="H156" s="175">
        <f t="shared" si="18"/>
        <v>93.230959999999996</v>
      </c>
      <c r="I156" s="175">
        <f t="shared" si="18"/>
        <v>81.796972499999995</v>
      </c>
      <c r="J156" s="175">
        <f t="shared" si="18"/>
        <v>53.673181499999998</v>
      </c>
      <c r="K156" s="175">
        <f t="shared" si="18"/>
        <v>58.489105000000002</v>
      </c>
      <c r="L156" s="175">
        <f t="shared" si="18"/>
        <v>65.732164499999996</v>
      </c>
      <c r="M156" s="175">
        <f t="shared" si="18"/>
        <v>61.533473999999998</v>
      </c>
      <c r="N156" s="175">
        <f t="shared" si="18"/>
        <v>72.343810500000004</v>
      </c>
    </row>
    <row r="157" spans="1:15" s="176" customFormat="1" ht="12">
      <c r="A157" s="174" t="s">
        <v>66</v>
      </c>
      <c r="B157" s="175">
        <f>HLOOKUP(B$145,$120:$142,14,FALSE)</f>
        <v>23.718672000000002</v>
      </c>
      <c r="C157" s="175">
        <f t="shared" ref="C157:N157" si="19">HLOOKUP(C$145,$120:$142,14,FALSE)</f>
        <v>52.036873</v>
      </c>
      <c r="D157" s="175">
        <f t="shared" si="19"/>
        <v>59.049389499999997</v>
      </c>
      <c r="E157" s="175">
        <f t="shared" si="19"/>
        <v>45.211658999999997</v>
      </c>
      <c r="F157" s="175">
        <f t="shared" si="19"/>
        <v>49.534435000000002</v>
      </c>
      <c r="G157" s="175">
        <f t="shared" si="19"/>
        <v>51.141227499999999</v>
      </c>
      <c r="H157" s="175">
        <f t="shared" si="19"/>
        <v>59.985340000000001</v>
      </c>
      <c r="I157" s="175">
        <f t="shared" si="19"/>
        <v>59.131662499999997</v>
      </c>
      <c r="J157" s="175">
        <f t="shared" si="19"/>
        <v>36.8775215</v>
      </c>
      <c r="K157" s="175">
        <f t="shared" si="19"/>
        <v>39.021422000000001</v>
      </c>
      <c r="L157" s="175">
        <f t="shared" si="19"/>
        <v>41.4186525</v>
      </c>
      <c r="M157" s="175">
        <f t="shared" si="19"/>
        <v>37.339849999999998</v>
      </c>
      <c r="N157" s="175">
        <f t="shared" si="19"/>
        <v>50.901923500000002</v>
      </c>
    </row>
    <row r="158" spans="1:15" s="176" customFormat="1" ht="12">
      <c r="A158" s="177" t="s">
        <v>91</v>
      </c>
      <c r="B158" s="178">
        <f>SUM(B146:B157)</f>
        <v>21908.080579336001</v>
      </c>
      <c r="C158" s="178">
        <f t="shared" ref="C158:M158" si="20">SUM(C146:C157)</f>
        <v>23845.278733153002</v>
      </c>
      <c r="D158" s="178">
        <f t="shared" si="20"/>
        <v>22145.819473510001</v>
      </c>
      <c r="E158" s="178">
        <f t="shared" si="20"/>
        <v>20504.959337520002</v>
      </c>
      <c r="F158" s="178">
        <f t="shared" si="20"/>
        <v>20791.412514427997</v>
      </c>
      <c r="G158" s="178">
        <f t="shared" si="20"/>
        <v>21429.14511632</v>
      </c>
      <c r="H158" s="178">
        <f t="shared" si="20"/>
        <v>22160.262832093998</v>
      </c>
      <c r="I158" s="178">
        <f t="shared" si="20"/>
        <v>24332.081727552999</v>
      </c>
      <c r="J158" s="178">
        <f t="shared" si="20"/>
        <v>20734.951209700997</v>
      </c>
      <c r="K158" s="178">
        <f t="shared" si="20"/>
        <v>21925.300650538</v>
      </c>
      <c r="L158" s="178">
        <f t="shared" si="20"/>
        <v>19303.290868806005</v>
      </c>
      <c r="M158" s="178">
        <f t="shared" si="20"/>
        <v>20753.105338972004</v>
      </c>
      <c r="N158" s="178">
        <f>SUM(N146:N157)</f>
        <v>22993.311329993998</v>
      </c>
    </row>
    <row r="160" spans="1:15" s="176" customFormat="1" ht="12">
      <c r="A160" s="180" t="s">
        <v>108</v>
      </c>
      <c r="B160" s="191">
        <f>B146+B151+B152+B153+B154+B157</f>
        <v>12244.231450335999</v>
      </c>
      <c r="C160" s="191">
        <f t="shared" ref="C160:M160" si="21">C146+C151+C152+C153+C154+C157</f>
        <v>13598.049746152999</v>
      </c>
      <c r="D160" s="191">
        <f t="shared" si="21"/>
        <v>12020.404424010001</v>
      </c>
      <c r="E160" s="191">
        <f t="shared" si="21"/>
        <v>11283.14980952</v>
      </c>
      <c r="F160" s="191">
        <f t="shared" si="21"/>
        <v>10823.901072428</v>
      </c>
      <c r="G160" s="191">
        <f t="shared" si="21"/>
        <v>12623.872448819999</v>
      </c>
      <c r="H160" s="191">
        <f t="shared" si="21"/>
        <v>11245.951701093998</v>
      </c>
      <c r="I160" s="191">
        <f t="shared" si="21"/>
        <v>14027.197220053</v>
      </c>
      <c r="J160" s="191">
        <f t="shared" si="21"/>
        <v>13584.048122201</v>
      </c>
      <c r="K160" s="191">
        <f t="shared" si="21"/>
        <v>14314.270436538</v>
      </c>
      <c r="L160" s="191">
        <f t="shared" si="21"/>
        <v>11904.430931305998</v>
      </c>
      <c r="M160" s="191">
        <f t="shared" si="21"/>
        <v>12914.763308972</v>
      </c>
      <c r="N160" s="191">
        <f>N146+N151+N152+N153+N154+N157</f>
        <v>13875.789859494002</v>
      </c>
      <c r="O160" s="209">
        <f>((N160/B160)-1)*100</f>
        <v>13.325118981748997</v>
      </c>
    </row>
    <row r="161" spans="1:15" s="176" customFormat="1" ht="12">
      <c r="A161" s="180" t="s">
        <v>109</v>
      </c>
      <c r="B161" s="191">
        <f>B147+B148+B149+B150+B155+B156</f>
        <v>9663.8491290000002</v>
      </c>
      <c r="C161" s="191">
        <f t="shared" ref="C161:N161" si="22">C147+C148+C149+C150+C155+C156</f>
        <v>10247.228986999999</v>
      </c>
      <c r="D161" s="191">
        <f t="shared" si="22"/>
        <v>10125.415049500001</v>
      </c>
      <c r="E161" s="191">
        <f t="shared" si="22"/>
        <v>9221.8095279999998</v>
      </c>
      <c r="F161" s="191">
        <f t="shared" si="22"/>
        <v>9967.5114420000009</v>
      </c>
      <c r="G161" s="191">
        <f t="shared" si="22"/>
        <v>8805.2726674999994</v>
      </c>
      <c r="H161" s="191">
        <f t="shared" si="22"/>
        <v>10914.311131</v>
      </c>
      <c r="I161" s="191">
        <f t="shared" si="22"/>
        <v>10304.884507499999</v>
      </c>
      <c r="J161" s="191">
        <f t="shared" si="22"/>
        <v>7150.9030874999999</v>
      </c>
      <c r="K161" s="191">
        <f t="shared" si="22"/>
        <v>7611.0302139999994</v>
      </c>
      <c r="L161" s="191">
        <f t="shared" si="22"/>
        <v>7398.8599375000003</v>
      </c>
      <c r="M161" s="191">
        <f t="shared" si="22"/>
        <v>7838.3420299999998</v>
      </c>
      <c r="N161" s="191">
        <f t="shared" si="22"/>
        <v>9117.5214704999999</v>
      </c>
    </row>
    <row r="162" spans="1:15" s="176" customFormat="1" ht="12">
      <c r="A162" s="180" t="s">
        <v>110</v>
      </c>
      <c r="B162" s="181">
        <f>B160/B158*100</f>
        <v>55.889110896757089</v>
      </c>
      <c r="C162" s="181">
        <f t="shared" ref="C162:M162" si="23">C160/C158*100</f>
        <v>57.026172343488327</v>
      </c>
      <c r="D162" s="181">
        <f t="shared" si="23"/>
        <v>54.278435884426671</v>
      </c>
      <c r="E162" s="181">
        <f t="shared" si="23"/>
        <v>55.026443231584842</v>
      </c>
      <c r="F162" s="181">
        <f t="shared" si="23"/>
        <v>52.059479195638389</v>
      </c>
      <c r="G162" s="181">
        <f t="shared" si="23"/>
        <v>58.909827621662401</v>
      </c>
      <c r="H162" s="181">
        <f t="shared" si="23"/>
        <v>50.748277609807261</v>
      </c>
      <c r="I162" s="181">
        <f t="shared" si="23"/>
        <v>57.648981197399877</v>
      </c>
      <c r="J162" s="181">
        <f t="shared" si="23"/>
        <v>65.512804852155156</v>
      </c>
      <c r="K162" s="181">
        <f t="shared" si="23"/>
        <v>65.286541173093369</v>
      </c>
      <c r="L162" s="181">
        <f t="shared" si="23"/>
        <v>61.670473766436807</v>
      </c>
      <c r="M162" s="181">
        <f t="shared" si="23"/>
        <v>62.230510075615165</v>
      </c>
      <c r="N162" s="181">
        <f>N160/N158*100</f>
        <v>60.347070764851097</v>
      </c>
      <c r="O162" s="209">
        <f>N162-B162</f>
        <v>4.457959868094008</v>
      </c>
    </row>
    <row r="163" spans="1:15" s="176" customFormat="1" ht="12">
      <c r="A163" s="180" t="s">
        <v>111</v>
      </c>
      <c r="B163" s="181">
        <f>B161/B158*100</f>
        <v>44.110889103242904</v>
      </c>
      <c r="C163" s="181">
        <f t="shared" ref="C163:N163" si="24">C161/C158*100</f>
        <v>42.973827656511666</v>
      </c>
      <c r="D163" s="181">
        <f t="shared" si="24"/>
        <v>45.721564115573337</v>
      </c>
      <c r="E163" s="181">
        <f t="shared" si="24"/>
        <v>44.973556768415143</v>
      </c>
      <c r="F163" s="181">
        <f t="shared" si="24"/>
        <v>47.940520804361633</v>
      </c>
      <c r="G163" s="181">
        <f t="shared" si="24"/>
        <v>41.090172378337591</v>
      </c>
      <c r="H163" s="181">
        <f t="shared" si="24"/>
        <v>49.251722390192739</v>
      </c>
      <c r="I163" s="181">
        <f t="shared" si="24"/>
        <v>42.351018802600123</v>
      </c>
      <c r="J163" s="181">
        <f t="shared" si="24"/>
        <v>34.487195147844851</v>
      </c>
      <c r="K163" s="181">
        <f t="shared" si="24"/>
        <v>34.713458826906631</v>
      </c>
      <c r="L163" s="181">
        <f t="shared" si="24"/>
        <v>38.329526233563158</v>
      </c>
      <c r="M163" s="181">
        <f t="shared" si="24"/>
        <v>37.769489924384828</v>
      </c>
      <c r="N163" s="181">
        <f t="shared" si="24"/>
        <v>39.652929235148925</v>
      </c>
    </row>
    <row r="164" spans="1:15" s="176" customFormat="1" ht="12">
      <c r="A164" s="180"/>
      <c r="B164" s="180"/>
    </row>
    <row r="165" spans="1:15" s="176" customFormat="1" ht="12">
      <c r="A165" s="180" t="s">
        <v>81</v>
      </c>
      <c r="B165" s="180"/>
      <c r="N165" s="209"/>
    </row>
    <row r="166" spans="1:15" s="176" customFormat="1" ht="12">
      <c r="A166" s="180" t="s">
        <v>221</v>
      </c>
      <c r="B166" s="180"/>
    </row>
    <row r="168" spans="1:15" s="176" customFormat="1" ht="12">
      <c r="A168" s="180" t="s">
        <v>19</v>
      </c>
      <c r="B168" s="175">
        <f>B146+B147+B151+B152+B153+B154+B157</f>
        <v>16340.611704335999</v>
      </c>
      <c r="C168" s="175">
        <f t="shared" ref="C168:M168" si="25">C146+C147+C151+C152+C153+C154+C157</f>
        <v>18661.032410153002</v>
      </c>
      <c r="D168" s="175">
        <f t="shared" si="25"/>
        <v>17115.24400001</v>
      </c>
      <c r="E168" s="175">
        <f t="shared" si="25"/>
        <v>15821.365906520001</v>
      </c>
      <c r="F168" s="175">
        <f t="shared" si="25"/>
        <v>14519.700838428</v>
      </c>
      <c r="G168" s="175">
        <f t="shared" si="25"/>
        <v>16306.54950282</v>
      </c>
      <c r="H168" s="175">
        <f t="shared" si="25"/>
        <v>16066.151568093997</v>
      </c>
      <c r="I168" s="175">
        <f t="shared" si="25"/>
        <v>19275.752002052999</v>
      </c>
      <c r="J168" s="175">
        <f t="shared" si="25"/>
        <v>17615.653503201</v>
      </c>
      <c r="K168" s="175">
        <f t="shared" si="25"/>
        <v>18235.367067538002</v>
      </c>
      <c r="L168" s="175">
        <f t="shared" si="25"/>
        <v>15796.260692305998</v>
      </c>
      <c r="M168" s="175">
        <f t="shared" si="25"/>
        <v>16673.329030972</v>
      </c>
      <c r="N168" s="175">
        <f>N146+N147+N151+N152+N153+N154+N157</f>
        <v>18333.353398494</v>
      </c>
    </row>
    <row r="169" spans="1:15" s="176" customFormat="1" ht="12">
      <c r="A169" s="180" t="s">
        <v>20</v>
      </c>
      <c r="B169" s="175">
        <f>B148+B149+B150+B155+B156</f>
        <v>5567.4688749999996</v>
      </c>
      <c r="C169" s="175">
        <f t="shared" ref="C169:N169" si="26">C148+C149+C150+C155+C156</f>
        <v>5184.2463230000003</v>
      </c>
      <c r="D169" s="175">
        <f t="shared" si="26"/>
        <v>5030.5754735</v>
      </c>
      <c r="E169" s="175">
        <f t="shared" si="26"/>
        <v>4683.5934309999993</v>
      </c>
      <c r="F169" s="175">
        <f t="shared" si="26"/>
        <v>6271.7116759999999</v>
      </c>
      <c r="G169" s="175">
        <f t="shared" si="26"/>
        <v>5122.5956134999997</v>
      </c>
      <c r="H169" s="175">
        <f t="shared" si="26"/>
        <v>6094.1112639999992</v>
      </c>
      <c r="I169" s="175">
        <f t="shared" si="26"/>
        <v>5056.3297254999998</v>
      </c>
      <c r="J169" s="175">
        <f t="shared" si="26"/>
        <v>3119.2977065</v>
      </c>
      <c r="K169" s="175">
        <f t="shared" si="26"/>
        <v>3689.933583</v>
      </c>
      <c r="L169" s="175">
        <f t="shared" si="26"/>
        <v>3507.0301765000004</v>
      </c>
      <c r="M169" s="175">
        <f t="shared" si="26"/>
        <v>4079.7763079999995</v>
      </c>
      <c r="N169" s="175">
        <f t="shared" si="26"/>
        <v>4659.9579315000001</v>
      </c>
    </row>
    <row r="170" spans="1:15" s="176" customFormat="1" ht="12">
      <c r="A170" s="180" t="s">
        <v>107</v>
      </c>
      <c r="B170" s="181">
        <f>B168/B158*100</f>
        <v>74.587144433587156</v>
      </c>
      <c r="C170" s="181">
        <f t="shared" ref="C170:M170" si="27">C168/C158*100</f>
        <v>78.258814329596646</v>
      </c>
      <c r="D170" s="181">
        <f t="shared" si="27"/>
        <v>77.284311020789332</v>
      </c>
      <c r="E170" s="181">
        <f t="shared" si="27"/>
        <v>77.15872851096097</v>
      </c>
      <c r="F170" s="181">
        <f t="shared" si="27"/>
        <v>69.835086136414233</v>
      </c>
      <c r="G170" s="181">
        <f t="shared" si="27"/>
        <v>76.095193785408014</v>
      </c>
      <c r="H170" s="181">
        <f t="shared" si="27"/>
        <v>72.499824076210444</v>
      </c>
      <c r="I170" s="181">
        <f t="shared" si="27"/>
        <v>79.219493908840747</v>
      </c>
      <c r="J170" s="181">
        <f t="shared" si="27"/>
        <v>84.956329653476047</v>
      </c>
      <c r="K170" s="181">
        <f t="shared" si="27"/>
        <v>83.170431084102574</v>
      </c>
      <c r="L170" s="181">
        <f t="shared" si="27"/>
        <v>81.83195704641561</v>
      </c>
      <c r="M170" s="181">
        <f t="shared" si="27"/>
        <v>80.341369441523327</v>
      </c>
      <c r="N170" s="181">
        <f>N168/N158*100</f>
        <v>79.733419581801428</v>
      </c>
      <c r="O170" s="209">
        <f>N170-B170</f>
        <v>5.1462751482142721</v>
      </c>
    </row>
    <row r="171" spans="1:15" s="176" customFormat="1" ht="12">
      <c r="A171" s="180" t="s">
        <v>223</v>
      </c>
      <c r="B171" s="181">
        <f>B169/B158*100</f>
        <v>25.412855566412841</v>
      </c>
      <c r="C171" s="181">
        <f t="shared" ref="C171:N171" si="28">C169/C158*100</f>
        <v>21.741185670403361</v>
      </c>
      <c r="D171" s="181">
        <f t="shared" si="28"/>
        <v>22.715688979210665</v>
      </c>
      <c r="E171" s="181">
        <f t="shared" si="28"/>
        <v>22.841271489039013</v>
      </c>
      <c r="F171" s="181">
        <f t="shared" si="28"/>
        <v>30.164913863585781</v>
      </c>
      <c r="G171" s="181">
        <f t="shared" si="28"/>
        <v>23.904806214591993</v>
      </c>
      <c r="H171" s="181">
        <f t="shared" si="28"/>
        <v>27.500175923789556</v>
      </c>
      <c r="I171" s="181">
        <f t="shared" si="28"/>
        <v>20.780506091159261</v>
      </c>
      <c r="J171" s="181">
        <f t="shared" si="28"/>
        <v>15.04367034652396</v>
      </c>
      <c r="K171" s="181">
        <f t="shared" si="28"/>
        <v>16.829568915897429</v>
      </c>
      <c r="L171" s="181">
        <f t="shared" si="28"/>
        <v>18.168042953584347</v>
      </c>
      <c r="M171" s="181">
        <f t="shared" si="28"/>
        <v>19.658630558476649</v>
      </c>
      <c r="N171" s="181">
        <f t="shared" si="28"/>
        <v>20.266580418198586</v>
      </c>
    </row>
    <row r="172" spans="1:15" s="176" customFormat="1" ht="12">
      <c r="A172" s="180"/>
      <c r="B172" s="180"/>
    </row>
    <row r="173" spans="1:15" s="176" customFormat="1" ht="12">
      <c r="A173" s="180" t="s">
        <v>222</v>
      </c>
      <c r="B173" s="180"/>
      <c r="N173" s="209"/>
    </row>
    <row r="174" spans="1:15" s="176" customFormat="1" ht="12">
      <c r="A174" s="180" t="s">
        <v>224</v>
      </c>
      <c r="B174" s="180"/>
    </row>
    <row r="179" spans="1:27">
      <c r="A179" s="163" t="s">
        <v>100</v>
      </c>
      <c r="B179" s="341" t="s">
        <v>93</v>
      </c>
      <c r="C179" s="342"/>
      <c r="D179" s="342"/>
      <c r="E179" s="342"/>
      <c r="F179" s="342"/>
      <c r="G179" s="342"/>
      <c r="H179" s="342"/>
      <c r="I179" s="342"/>
      <c r="J179" s="342"/>
      <c r="K179" s="342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</row>
    <row r="180" spans="1:27">
      <c r="A180" s="163" t="s">
        <v>101</v>
      </c>
      <c r="B180" s="345" t="s">
        <v>112</v>
      </c>
      <c r="C180" s="346"/>
      <c r="D180" s="346"/>
      <c r="E180" s="346"/>
      <c r="F180" s="346"/>
      <c r="G180" s="346"/>
      <c r="H180" s="346"/>
      <c r="I180" s="346"/>
      <c r="J180" s="346"/>
      <c r="K180" s="346"/>
      <c r="L180" s="346"/>
      <c r="M180" s="346"/>
      <c r="N180" s="346"/>
      <c r="O180" s="346"/>
      <c r="P180" s="346"/>
      <c r="Q180" s="346"/>
      <c r="R180" s="346"/>
      <c r="S180" s="346"/>
      <c r="T180" s="346"/>
      <c r="U180" s="346"/>
      <c r="V180" s="346"/>
    </row>
    <row r="181" spans="1:27">
      <c r="A181" s="167" t="s">
        <v>28</v>
      </c>
      <c r="B181" s="347" t="s">
        <v>287</v>
      </c>
      <c r="C181" s="348"/>
      <c r="D181" s="348"/>
      <c r="E181" s="348"/>
      <c r="F181" s="348"/>
      <c r="G181" s="348"/>
      <c r="H181" s="348"/>
      <c r="I181" s="348"/>
      <c r="J181" s="348"/>
      <c r="K181" s="348"/>
      <c r="L181" s="348"/>
      <c r="M181" s="348"/>
      <c r="N181" s="348"/>
      <c r="O181" s="348"/>
      <c r="P181" s="348"/>
      <c r="Q181" s="348"/>
      <c r="R181" s="348"/>
      <c r="S181" s="348"/>
      <c r="T181" s="348"/>
      <c r="U181" s="348"/>
      <c r="V181" s="348"/>
    </row>
    <row r="182" spans="1:27">
      <c r="A182" s="167" t="s">
        <v>102</v>
      </c>
      <c r="B182" s="269" t="s">
        <v>2</v>
      </c>
      <c r="C182" s="269" t="s">
        <v>3</v>
      </c>
      <c r="D182" s="269" t="s">
        <v>4</v>
      </c>
      <c r="E182" s="269" t="s">
        <v>135</v>
      </c>
      <c r="F182" s="269" t="s">
        <v>219</v>
      </c>
      <c r="G182" s="269" t="s">
        <v>11</v>
      </c>
      <c r="H182" s="269" t="s">
        <v>5</v>
      </c>
      <c r="I182" s="269" t="s">
        <v>6</v>
      </c>
      <c r="J182" s="269" t="s">
        <v>7</v>
      </c>
      <c r="K182" s="269" t="s">
        <v>8</v>
      </c>
      <c r="L182" s="269" t="s">
        <v>9</v>
      </c>
      <c r="M182" s="269" t="s">
        <v>66</v>
      </c>
      <c r="N182" s="269" t="s">
        <v>67</v>
      </c>
      <c r="O182" s="182" t="s">
        <v>10</v>
      </c>
      <c r="P182" s="269" t="s">
        <v>78</v>
      </c>
      <c r="Q182" s="269" t="s">
        <v>115</v>
      </c>
      <c r="R182" s="269" t="s">
        <v>193</v>
      </c>
      <c r="S182" s="269" t="s">
        <v>194</v>
      </c>
      <c r="T182" s="269" t="s">
        <v>92</v>
      </c>
      <c r="U182" s="269" t="s">
        <v>116</v>
      </c>
      <c r="V182" s="182" t="s">
        <v>117</v>
      </c>
      <c r="X182" s="184" t="s">
        <v>226</v>
      </c>
      <c r="Y182" s="184" t="s">
        <v>227</v>
      </c>
      <c r="Z182" s="184" t="s">
        <v>228</v>
      </c>
      <c r="AA182" s="184" t="s">
        <v>229</v>
      </c>
    </row>
    <row r="183" spans="1:27" ht="14.25">
      <c r="A183" s="163" t="s">
        <v>29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183"/>
      <c r="P183" s="252"/>
      <c r="Q183" s="252"/>
      <c r="R183" s="252"/>
      <c r="S183" s="252"/>
      <c r="T183" s="252"/>
      <c r="U183" s="252"/>
      <c r="V183" s="183"/>
      <c r="X183" s="185"/>
      <c r="Y183" s="185"/>
      <c r="Z183" s="185"/>
      <c r="AA183" s="185"/>
    </row>
    <row r="184" spans="1:27" ht="14.25">
      <c r="A184" s="293">
        <v>1</v>
      </c>
      <c r="B184" s="166">
        <v>75526.164707999997</v>
      </c>
      <c r="C184" s="166">
        <v>121065.34299999999</v>
      </c>
      <c r="D184" s="166">
        <v>4.0000000000000001E-3</v>
      </c>
      <c r="E184" s="166">
        <v>6439.8159999999998</v>
      </c>
      <c r="F184" s="166">
        <v>0</v>
      </c>
      <c r="G184" s="166">
        <v>100582.201</v>
      </c>
      <c r="H184" s="166">
        <v>91992.691000000006</v>
      </c>
      <c r="I184" s="166">
        <v>253508.54</v>
      </c>
      <c r="J184" s="166">
        <v>21846.429</v>
      </c>
      <c r="K184" s="166">
        <v>11609.546</v>
      </c>
      <c r="L184" s="166">
        <v>36691.385999999999</v>
      </c>
      <c r="M184" s="166">
        <v>1343.5830000000001</v>
      </c>
      <c r="N184" s="166">
        <v>2071.7089999999998</v>
      </c>
      <c r="O184" s="316">
        <v>722677.41270800005</v>
      </c>
      <c r="P184" s="166">
        <v>26913.683971999999</v>
      </c>
      <c r="Q184" s="166">
        <v>-34530.754999999997</v>
      </c>
      <c r="R184" s="166">
        <v>51.072000000000003</v>
      </c>
      <c r="S184" s="166">
        <v>-61.156999999999996</v>
      </c>
      <c r="T184" s="166">
        <v>-5839.4740000000002</v>
      </c>
      <c r="U184" s="166">
        <v>-22013.190999999999</v>
      </c>
      <c r="V184" s="316">
        <v>687197.59167999995</v>
      </c>
      <c r="X184" s="186">
        <f>IFERROR($H184/$O184*100,"")</f>
        <v>12.729426626921564</v>
      </c>
      <c r="Y184" s="185">
        <f>IF($H184=0,"",$H184/1000)</f>
        <v>91.992691000000008</v>
      </c>
      <c r="Z184" s="186">
        <f>IFERROR($I184/$O184*100,"")</f>
        <v>35.079073393211317</v>
      </c>
      <c r="AA184" s="185">
        <f>IF($I184=0,"",$I184/1000)</f>
        <v>253.50854000000001</v>
      </c>
    </row>
    <row r="185" spans="1:27" ht="14.25">
      <c r="A185" s="293">
        <v>2</v>
      </c>
      <c r="B185" s="166">
        <v>71031.177731999996</v>
      </c>
      <c r="C185" s="166">
        <v>121082.85799999999</v>
      </c>
      <c r="D185" s="166">
        <v>3.0000000000000001E-3</v>
      </c>
      <c r="E185" s="166">
        <v>6629.6</v>
      </c>
      <c r="F185" s="166">
        <v>0</v>
      </c>
      <c r="G185" s="166">
        <v>83015.771999999997</v>
      </c>
      <c r="H185" s="166">
        <v>159987.03</v>
      </c>
      <c r="I185" s="166">
        <v>226235.128</v>
      </c>
      <c r="J185" s="166">
        <v>18434.554</v>
      </c>
      <c r="K185" s="166">
        <v>11000.371999999999</v>
      </c>
      <c r="L185" s="166">
        <v>35923.42</v>
      </c>
      <c r="M185" s="166">
        <v>1259.1195</v>
      </c>
      <c r="N185" s="166">
        <v>1948.0735</v>
      </c>
      <c r="O185" s="316">
        <v>736547.10773199995</v>
      </c>
      <c r="P185" s="166">
        <v>22292.259107999998</v>
      </c>
      <c r="Q185" s="166">
        <v>-31696.679</v>
      </c>
      <c r="R185" s="166">
        <v>50.603000000000002</v>
      </c>
      <c r="S185" s="166">
        <v>-63.281999999999996</v>
      </c>
      <c r="T185" s="166">
        <v>-5924.7070000000003</v>
      </c>
      <c r="U185" s="166">
        <v>-9328.5280000000002</v>
      </c>
      <c r="V185" s="316">
        <v>711876.77384000004</v>
      </c>
      <c r="X185" s="186">
        <f t="shared" ref="X185:X214" si="29">IFERROR($H185/$O185*100,"")</f>
        <v>21.721221673470055</v>
      </c>
      <c r="Y185" s="185">
        <f t="shared" ref="Y185:Y214" si="30">IF($H185=0,"",$H185/1000)</f>
        <v>159.98703</v>
      </c>
      <c r="Z185" s="186">
        <f>IFERROR($I185/$O185*100,"")</f>
        <v>30.715635921323571</v>
      </c>
      <c r="AA185" s="185">
        <f t="shared" ref="AA185:AA214" si="31">IF($I185=0,"",$I185/1000)</f>
        <v>226.235128</v>
      </c>
    </row>
    <row r="186" spans="1:27" ht="14.25">
      <c r="A186" s="293">
        <v>3</v>
      </c>
      <c r="B186" s="166">
        <v>71888.178207999998</v>
      </c>
      <c r="C186" s="166">
        <v>121251.761</v>
      </c>
      <c r="D186" s="166">
        <v>4.0000000000000001E-3</v>
      </c>
      <c r="E186" s="166">
        <v>6259.9440000000004</v>
      </c>
      <c r="F186" s="166">
        <v>0</v>
      </c>
      <c r="G186" s="166">
        <v>84973.740999999995</v>
      </c>
      <c r="H186" s="166">
        <v>129658.504</v>
      </c>
      <c r="I186" s="166">
        <v>244664.2</v>
      </c>
      <c r="J186" s="166">
        <v>21823.996999999999</v>
      </c>
      <c r="K186" s="166">
        <v>10938.269</v>
      </c>
      <c r="L186" s="166">
        <v>34943.644999999997</v>
      </c>
      <c r="M186" s="166">
        <v>1266.0364999999999</v>
      </c>
      <c r="N186" s="166">
        <v>1879.6614999999999</v>
      </c>
      <c r="O186" s="316">
        <v>729547.94120799995</v>
      </c>
      <c r="P186" s="166">
        <v>22085.887112</v>
      </c>
      <c r="Q186" s="166">
        <v>-34405.798000000003</v>
      </c>
      <c r="R186" s="166">
        <v>40.037999999999997</v>
      </c>
      <c r="S186" s="166">
        <v>-45.91</v>
      </c>
      <c r="T186" s="166">
        <v>-5921.2079999999996</v>
      </c>
      <c r="U186" s="166">
        <v>-21405.188999999998</v>
      </c>
      <c r="V186" s="316">
        <v>689895.76132000005</v>
      </c>
      <c r="X186" s="186">
        <f t="shared" si="29"/>
        <v>17.77244464363903</v>
      </c>
      <c r="Y186" s="185">
        <f t="shared" si="30"/>
        <v>129.65850399999999</v>
      </c>
      <c r="Z186" s="186">
        <f t="shared" ref="Z186:Z214" si="32">IFERROR($I186/$O186*100,"")</f>
        <v>33.536411547523549</v>
      </c>
      <c r="AA186" s="185">
        <f t="shared" si="31"/>
        <v>244.66420000000002</v>
      </c>
    </row>
    <row r="187" spans="1:27" ht="14.25">
      <c r="A187" s="293">
        <v>4</v>
      </c>
      <c r="B187" s="166">
        <v>64943.262168000001</v>
      </c>
      <c r="C187" s="166">
        <v>121320.20600000001</v>
      </c>
      <c r="D187" s="166">
        <v>3.0000000000000001E-3</v>
      </c>
      <c r="E187" s="166">
        <v>6261.9759999999997</v>
      </c>
      <c r="F187" s="166">
        <v>0</v>
      </c>
      <c r="G187" s="166">
        <v>72887.346000000005</v>
      </c>
      <c r="H187" s="166">
        <v>163076.364</v>
      </c>
      <c r="I187" s="166">
        <v>211902.84700000001</v>
      </c>
      <c r="J187" s="166">
        <v>24542.212</v>
      </c>
      <c r="K187" s="166">
        <v>10707.786</v>
      </c>
      <c r="L187" s="166">
        <v>35257.279000000002</v>
      </c>
      <c r="M187" s="166">
        <v>1317.6835000000001</v>
      </c>
      <c r="N187" s="166">
        <v>1833.3074999999999</v>
      </c>
      <c r="O187" s="316">
        <v>714050.272168</v>
      </c>
      <c r="P187" s="166">
        <v>21033.70464</v>
      </c>
      <c r="Q187" s="166">
        <v>-32548.506000000001</v>
      </c>
      <c r="R187" s="166">
        <v>48.55</v>
      </c>
      <c r="S187" s="166">
        <v>-57.811</v>
      </c>
      <c r="T187" s="166">
        <v>-5929.3720000000003</v>
      </c>
      <c r="U187" s="166">
        <v>-1958.655</v>
      </c>
      <c r="V187" s="316">
        <v>694638.18280800001</v>
      </c>
      <c r="X187" s="186">
        <f t="shared" si="29"/>
        <v>22.838218870061826</v>
      </c>
      <c r="Y187" s="185">
        <f t="shared" si="30"/>
        <v>163.07636400000001</v>
      </c>
      <c r="Z187" s="186">
        <f t="shared" si="32"/>
        <v>29.676180411866575</v>
      </c>
      <c r="AA187" s="185">
        <f t="shared" si="31"/>
        <v>211.90284700000001</v>
      </c>
    </row>
    <row r="188" spans="1:27" ht="14.25">
      <c r="A188" s="293">
        <v>5</v>
      </c>
      <c r="B188" s="166">
        <v>68725.576014000006</v>
      </c>
      <c r="C188" s="166">
        <v>108519.8</v>
      </c>
      <c r="D188" s="166">
        <v>4.0000000000000001E-3</v>
      </c>
      <c r="E188" s="166">
        <v>6253.616</v>
      </c>
      <c r="F188" s="166">
        <v>0</v>
      </c>
      <c r="G188" s="166">
        <v>102880.23699999999</v>
      </c>
      <c r="H188" s="166">
        <v>131942.04199999999</v>
      </c>
      <c r="I188" s="166">
        <v>220909.42</v>
      </c>
      <c r="J188" s="166">
        <v>23309.929</v>
      </c>
      <c r="K188" s="166">
        <v>11738.799000000001</v>
      </c>
      <c r="L188" s="166">
        <v>37200.641000000003</v>
      </c>
      <c r="M188" s="166">
        <v>1395.2840000000001</v>
      </c>
      <c r="N188" s="166">
        <v>2098.5410000000002</v>
      </c>
      <c r="O188" s="316">
        <v>714973.88901399996</v>
      </c>
      <c r="P188" s="166">
        <v>22448.901731999998</v>
      </c>
      <c r="Q188" s="166">
        <v>-32561.923999999999</v>
      </c>
      <c r="R188" s="166">
        <v>42.334000000000003</v>
      </c>
      <c r="S188" s="166">
        <v>-52.956000000000003</v>
      </c>
      <c r="T188" s="166">
        <v>-5859.8209999999999</v>
      </c>
      <c r="U188" s="166">
        <v>-31000.319</v>
      </c>
      <c r="V188" s="316">
        <v>667990.10474600003</v>
      </c>
      <c r="X188" s="186">
        <f t="shared" si="29"/>
        <v>18.454106370507809</v>
      </c>
      <c r="Y188" s="185">
        <f t="shared" si="30"/>
        <v>131.94204199999999</v>
      </c>
      <c r="Z188" s="186">
        <f t="shared" si="32"/>
        <v>30.897550720999039</v>
      </c>
      <c r="AA188" s="185">
        <f t="shared" si="31"/>
        <v>220.90942000000001</v>
      </c>
    </row>
    <row r="189" spans="1:27" ht="14.25">
      <c r="A189" s="293">
        <v>6</v>
      </c>
      <c r="B189" s="166">
        <v>68968.916360000003</v>
      </c>
      <c r="C189" s="166">
        <v>96789.176000000007</v>
      </c>
      <c r="D189" s="166">
        <v>3.0000000000000001E-3</v>
      </c>
      <c r="E189" s="166">
        <v>5965.4080000000004</v>
      </c>
      <c r="F189" s="166">
        <v>0</v>
      </c>
      <c r="G189" s="166">
        <v>73121.565000000002</v>
      </c>
      <c r="H189" s="166">
        <v>85224.812999999995</v>
      </c>
      <c r="I189" s="166">
        <v>229576.693</v>
      </c>
      <c r="J189" s="166">
        <v>17129.150000000001</v>
      </c>
      <c r="K189" s="166">
        <v>11903.201999999999</v>
      </c>
      <c r="L189" s="166">
        <v>35805.487999999998</v>
      </c>
      <c r="M189" s="166">
        <v>1377.5664999999999</v>
      </c>
      <c r="N189" s="166">
        <v>2104.1325000000002</v>
      </c>
      <c r="O189" s="316">
        <v>627966.11335999996</v>
      </c>
      <c r="P189" s="166">
        <v>19727.831136000001</v>
      </c>
      <c r="Q189" s="166">
        <v>-38052.042000000001</v>
      </c>
      <c r="R189" s="166">
        <v>48.441000000000003</v>
      </c>
      <c r="S189" s="166">
        <v>-58.36</v>
      </c>
      <c r="T189" s="166">
        <v>-5407.6469999999999</v>
      </c>
      <c r="U189" s="166">
        <v>-8591.9359999999997</v>
      </c>
      <c r="V189" s="316">
        <v>595632.40049599996</v>
      </c>
      <c r="X189" s="186">
        <f t="shared" si="29"/>
        <v>13.571562411862562</v>
      </c>
      <c r="Y189" s="185">
        <f t="shared" si="30"/>
        <v>85.224812999999997</v>
      </c>
      <c r="Z189" s="186">
        <f t="shared" si="32"/>
        <v>36.558770945716375</v>
      </c>
      <c r="AA189" s="185">
        <f t="shared" si="31"/>
        <v>229.57669300000001</v>
      </c>
    </row>
    <row r="190" spans="1:27" ht="14.25">
      <c r="A190" s="293">
        <v>7</v>
      </c>
      <c r="B190" s="166">
        <v>54553.998312000003</v>
      </c>
      <c r="C190" s="166">
        <v>106741.784</v>
      </c>
      <c r="D190" s="166">
        <v>4.0000000000000001E-3</v>
      </c>
      <c r="E190" s="166">
        <v>5584.5680000000002</v>
      </c>
      <c r="F190" s="166">
        <v>0</v>
      </c>
      <c r="G190" s="166">
        <v>67994.319000000003</v>
      </c>
      <c r="H190" s="166">
        <v>109512.045</v>
      </c>
      <c r="I190" s="166">
        <v>186920.63500000001</v>
      </c>
      <c r="J190" s="166">
        <v>22003.556</v>
      </c>
      <c r="K190" s="166">
        <v>11784.007</v>
      </c>
      <c r="L190" s="166">
        <v>33266.286999999997</v>
      </c>
      <c r="M190" s="166">
        <v>1446.7155</v>
      </c>
      <c r="N190" s="166">
        <v>2090.1235000000001</v>
      </c>
      <c r="O190" s="316">
        <v>601898.04231199995</v>
      </c>
      <c r="P190" s="166">
        <v>18213.831591999999</v>
      </c>
      <c r="Q190" s="166">
        <v>-40044.987000000001</v>
      </c>
      <c r="R190" s="166">
        <v>48.689</v>
      </c>
      <c r="S190" s="166">
        <v>-57.262999999999998</v>
      </c>
      <c r="T190" s="166">
        <v>-5281.9340000000002</v>
      </c>
      <c r="U190" s="166">
        <v>-16525.503000000001</v>
      </c>
      <c r="V190" s="316">
        <v>558250.87590400001</v>
      </c>
      <c r="X190" s="186">
        <f t="shared" si="29"/>
        <v>18.19445110327063</v>
      </c>
      <c r="Y190" s="185">
        <f t="shared" si="30"/>
        <v>109.512045</v>
      </c>
      <c r="Z190" s="186">
        <f t="shared" si="32"/>
        <v>31.055199030387907</v>
      </c>
      <c r="AA190" s="185">
        <f t="shared" si="31"/>
        <v>186.920635</v>
      </c>
    </row>
    <row r="191" spans="1:27" ht="14.25">
      <c r="A191" s="293">
        <v>8</v>
      </c>
      <c r="B191" s="166">
        <v>65962.800128000003</v>
      </c>
      <c r="C191" s="166">
        <v>119780.141</v>
      </c>
      <c r="D191" s="166">
        <v>3.0000000000000001E-3</v>
      </c>
      <c r="E191" s="166">
        <v>6423.8</v>
      </c>
      <c r="F191" s="166">
        <v>0</v>
      </c>
      <c r="G191" s="166">
        <v>77068.428</v>
      </c>
      <c r="H191" s="166">
        <v>105011.42</v>
      </c>
      <c r="I191" s="166">
        <v>244246.595</v>
      </c>
      <c r="J191" s="166">
        <v>24141.669000000002</v>
      </c>
      <c r="K191" s="166">
        <v>11547.859</v>
      </c>
      <c r="L191" s="166">
        <v>37046.472999999998</v>
      </c>
      <c r="M191" s="166">
        <v>1462.5989999999999</v>
      </c>
      <c r="N191" s="166">
        <v>2187.42</v>
      </c>
      <c r="O191" s="316">
        <v>694879.20712799998</v>
      </c>
      <c r="P191" s="166">
        <v>21959.185907999999</v>
      </c>
      <c r="Q191" s="166">
        <v>-29708.925999999999</v>
      </c>
      <c r="R191" s="166">
        <v>45.296999999999997</v>
      </c>
      <c r="S191" s="166">
        <v>-55.029000000000003</v>
      </c>
      <c r="T191" s="166">
        <v>-5915.6360000000004</v>
      </c>
      <c r="U191" s="166">
        <v>-8816.991</v>
      </c>
      <c r="V191" s="316">
        <v>672387.10803600005</v>
      </c>
      <c r="X191" s="186">
        <f t="shared" si="29"/>
        <v>15.112183372707596</v>
      </c>
      <c r="Y191" s="185">
        <f t="shared" si="30"/>
        <v>105.01142</v>
      </c>
      <c r="Z191" s="186">
        <f t="shared" si="32"/>
        <v>35.149504042507438</v>
      </c>
      <c r="AA191" s="185">
        <f t="shared" si="31"/>
        <v>244.24659500000001</v>
      </c>
    </row>
    <row r="192" spans="1:27" ht="14.25">
      <c r="A192" s="293">
        <v>9</v>
      </c>
      <c r="B192" s="166">
        <v>55587.238920000003</v>
      </c>
      <c r="C192" s="166">
        <v>123134.553</v>
      </c>
      <c r="D192" s="166">
        <v>4.0000000000000001E-3</v>
      </c>
      <c r="E192" s="166">
        <v>6624.384</v>
      </c>
      <c r="F192" s="166">
        <v>0</v>
      </c>
      <c r="G192" s="166">
        <v>63216.038</v>
      </c>
      <c r="H192" s="166">
        <v>179326.79300000001</v>
      </c>
      <c r="I192" s="166">
        <v>229233.42800000001</v>
      </c>
      <c r="J192" s="166">
        <v>24942.774000000001</v>
      </c>
      <c r="K192" s="166">
        <v>9920.6740000000009</v>
      </c>
      <c r="L192" s="166">
        <v>35548.321000000004</v>
      </c>
      <c r="M192" s="166">
        <v>1446.2615000000001</v>
      </c>
      <c r="N192" s="166">
        <v>2241.1334999999999</v>
      </c>
      <c r="O192" s="316">
        <v>731221.60291999998</v>
      </c>
      <c r="P192" s="166">
        <v>20134.950563999999</v>
      </c>
      <c r="Q192" s="166">
        <v>-34654.385000000002</v>
      </c>
      <c r="R192" s="166">
        <v>49.448999999999998</v>
      </c>
      <c r="S192" s="166">
        <v>-60.2</v>
      </c>
      <c r="T192" s="166">
        <v>-5607.8779999999997</v>
      </c>
      <c r="U192" s="166">
        <v>-18683.137999999999</v>
      </c>
      <c r="V192" s="316">
        <v>692400.40148400003</v>
      </c>
      <c r="X192" s="186">
        <f t="shared" si="29"/>
        <v>24.52427448585917</v>
      </c>
      <c r="Y192" s="185">
        <f t="shared" si="30"/>
        <v>179.32679300000001</v>
      </c>
      <c r="Z192" s="186">
        <f t="shared" si="32"/>
        <v>31.349378503670867</v>
      </c>
      <c r="AA192" s="185">
        <f t="shared" si="31"/>
        <v>229.233428</v>
      </c>
    </row>
    <row r="193" spans="1:27" ht="14.25">
      <c r="A193" s="293">
        <v>10</v>
      </c>
      <c r="B193" s="166">
        <v>53095.977903999999</v>
      </c>
      <c r="C193" s="166">
        <v>137678.78700000001</v>
      </c>
      <c r="D193" s="166">
        <v>3.0000000000000001E-3</v>
      </c>
      <c r="E193" s="166">
        <v>6266.8879999999999</v>
      </c>
      <c r="F193" s="166">
        <v>0</v>
      </c>
      <c r="G193" s="166">
        <v>64589.444000000003</v>
      </c>
      <c r="H193" s="166">
        <v>196556.87700000001</v>
      </c>
      <c r="I193" s="166">
        <v>212558.46599999999</v>
      </c>
      <c r="J193" s="166">
        <v>23796.842000000001</v>
      </c>
      <c r="K193" s="166">
        <v>9823.5709999999999</v>
      </c>
      <c r="L193" s="166">
        <v>33843.83</v>
      </c>
      <c r="M193" s="166">
        <v>1431.4459999999999</v>
      </c>
      <c r="N193" s="166">
        <v>2064.0859999999998</v>
      </c>
      <c r="O193" s="316">
        <v>741706.21790399996</v>
      </c>
      <c r="P193" s="166">
        <v>13303.753896</v>
      </c>
      <c r="Q193" s="166">
        <v>-31738.717000000001</v>
      </c>
      <c r="R193" s="166">
        <v>48.72</v>
      </c>
      <c r="S193" s="166">
        <v>-56.103000000000002</v>
      </c>
      <c r="T193" s="166">
        <v>-5598.8059999999996</v>
      </c>
      <c r="U193" s="166">
        <v>-28330.74</v>
      </c>
      <c r="V193" s="316">
        <v>689334.32579999999</v>
      </c>
      <c r="X193" s="186">
        <f t="shared" si="29"/>
        <v>26.500637618416278</v>
      </c>
      <c r="Y193" s="185">
        <f t="shared" si="30"/>
        <v>196.55687700000001</v>
      </c>
      <c r="Z193" s="186">
        <f t="shared" si="32"/>
        <v>28.658040187484545</v>
      </c>
      <c r="AA193" s="185">
        <f t="shared" si="31"/>
        <v>212.55846599999998</v>
      </c>
    </row>
    <row r="194" spans="1:27" ht="14.25">
      <c r="A194" s="293">
        <v>11</v>
      </c>
      <c r="B194" s="166">
        <v>52905.784740000003</v>
      </c>
      <c r="C194" s="166">
        <v>144866.27900000001</v>
      </c>
      <c r="D194" s="166">
        <v>4.0000000000000001E-3</v>
      </c>
      <c r="E194" s="166">
        <v>6261.4480000000003</v>
      </c>
      <c r="F194" s="166">
        <v>0</v>
      </c>
      <c r="G194" s="166">
        <v>60084.675999999999</v>
      </c>
      <c r="H194" s="166">
        <v>197934.606</v>
      </c>
      <c r="I194" s="166">
        <v>220233.19399999999</v>
      </c>
      <c r="J194" s="166">
        <v>21752.683000000001</v>
      </c>
      <c r="K194" s="166">
        <v>10940.759</v>
      </c>
      <c r="L194" s="166">
        <v>33600.148000000001</v>
      </c>
      <c r="M194" s="166">
        <v>1451.1814999999999</v>
      </c>
      <c r="N194" s="166">
        <v>2363.9794999999999</v>
      </c>
      <c r="O194" s="316">
        <v>752394.74274000002</v>
      </c>
      <c r="P194" s="166">
        <v>15750.426364000001</v>
      </c>
      <c r="Q194" s="166">
        <v>-35553.783000000003</v>
      </c>
      <c r="R194" s="166">
        <v>45.207999999999998</v>
      </c>
      <c r="S194" s="166">
        <v>-55.442999999999998</v>
      </c>
      <c r="T194" s="166">
        <v>-5432.53</v>
      </c>
      <c r="U194" s="166">
        <v>-40768.050000000003</v>
      </c>
      <c r="V194" s="316">
        <v>686380.57110399997</v>
      </c>
      <c r="X194" s="186">
        <f t="shared" si="29"/>
        <v>26.307281903536495</v>
      </c>
      <c r="Y194" s="185">
        <f t="shared" si="30"/>
        <v>197.934606</v>
      </c>
      <c r="Z194" s="186">
        <f t="shared" si="32"/>
        <v>29.270963962078678</v>
      </c>
      <c r="AA194" s="185">
        <f t="shared" si="31"/>
        <v>220.233194</v>
      </c>
    </row>
    <row r="195" spans="1:27" ht="14.25">
      <c r="A195" s="293">
        <v>12</v>
      </c>
      <c r="B195" s="166">
        <v>52544.197708</v>
      </c>
      <c r="C195" s="166">
        <v>146738.82500000001</v>
      </c>
      <c r="D195" s="166">
        <v>4.0000000000000001E-3</v>
      </c>
      <c r="E195" s="166">
        <v>6257.2960000000003</v>
      </c>
      <c r="F195" s="166">
        <v>0</v>
      </c>
      <c r="G195" s="166">
        <v>59915.972000000002</v>
      </c>
      <c r="H195" s="166">
        <v>177716.45499999999</v>
      </c>
      <c r="I195" s="166">
        <v>239787.46599999999</v>
      </c>
      <c r="J195" s="166">
        <v>19934.175999999999</v>
      </c>
      <c r="K195" s="166">
        <v>11603.852999999999</v>
      </c>
      <c r="L195" s="166">
        <v>32303.666000000001</v>
      </c>
      <c r="M195" s="166">
        <v>1424.7460000000001</v>
      </c>
      <c r="N195" s="166">
        <v>2317.422</v>
      </c>
      <c r="O195" s="316">
        <v>750544.07870800002</v>
      </c>
      <c r="P195" s="166">
        <v>21683.230444000001</v>
      </c>
      <c r="Q195" s="166">
        <v>-35677.69</v>
      </c>
      <c r="R195" s="166">
        <v>51.22</v>
      </c>
      <c r="S195" s="166">
        <v>-59.698</v>
      </c>
      <c r="T195" s="166">
        <v>-5485.6220000000003</v>
      </c>
      <c r="U195" s="166">
        <v>-44808.15</v>
      </c>
      <c r="V195" s="316">
        <v>686247.36915200006</v>
      </c>
      <c r="X195" s="186">
        <f t="shared" si="29"/>
        <v>23.678350151789122</v>
      </c>
      <c r="Y195" s="185">
        <f t="shared" si="30"/>
        <v>177.716455</v>
      </c>
      <c r="Z195" s="186">
        <f t="shared" si="32"/>
        <v>31.948485479063987</v>
      </c>
      <c r="AA195" s="185">
        <f t="shared" si="31"/>
        <v>239.78746599999999</v>
      </c>
    </row>
    <row r="196" spans="1:27" ht="14.25">
      <c r="A196" s="293">
        <v>13</v>
      </c>
      <c r="B196" s="166">
        <v>56912.360821000002</v>
      </c>
      <c r="C196" s="166">
        <v>150961.48800000001</v>
      </c>
      <c r="D196" s="166">
        <v>3.0000000000000001E-3</v>
      </c>
      <c r="E196" s="166">
        <v>5969.32</v>
      </c>
      <c r="F196" s="166">
        <v>0</v>
      </c>
      <c r="G196" s="166">
        <v>57246.273999999998</v>
      </c>
      <c r="H196" s="166">
        <v>105215.83100000001</v>
      </c>
      <c r="I196" s="166">
        <v>214529.06299999999</v>
      </c>
      <c r="J196" s="166">
        <v>22891.143</v>
      </c>
      <c r="K196" s="166">
        <v>11706.837</v>
      </c>
      <c r="L196" s="166">
        <v>34745.917999999998</v>
      </c>
      <c r="M196" s="166">
        <v>1496.3705</v>
      </c>
      <c r="N196" s="166">
        <v>2308.4095000000002</v>
      </c>
      <c r="O196" s="316">
        <v>663983.01782099996</v>
      </c>
      <c r="P196" s="166">
        <v>31982.914487999999</v>
      </c>
      <c r="Q196" s="166">
        <v>-44506.724000000002</v>
      </c>
      <c r="R196" s="166">
        <v>53.552</v>
      </c>
      <c r="S196" s="166">
        <v>-64.373000000000005</v>
      </c>
      <c r="T196" s="166">
        <v>-5175.317</v>
      </c>
      <c r="U196" s="166">
        <v>-29733.887999999999</v>
      </c>
      <c r="V196" s="316">
        <v>616539.18230900005</v>
      </c>
      <c r="X196" s="186">
        <f t="shared" si="29"/>
        <v>15.846162955385202</v>
      </c>
      <c r="Y196" s="185">
        <f t="shared" si="30"/>
        <v>105.21583100000001</v>
      </c>
      <c r="Z196" s="186">
        <f t="shared" si="32"/>
        <v>32.309420157163402</v>
      </c>
      <c r="AA196" s="185">
        <f t="shared" si="31"/>
        <v>214.52906300000001</v>
      </c>
    </row>
    <row r="197" spans="1:27" ht="14.25">
      <c r="A197" s="293">
        <v>14</v>
      </c>
      <c r="B197" s="166">
        <v>58120.200042999997</v>
      </c>
      <c r="C197" s="166">
        <v>159415.23499999999</v>
      </c>
      <c r="D197" s="166">
        <v>4.0000000000000001E-3</v>
      </c>
      <c r="E197" s="166">
        <v>5571.4719999999998</v>
      </c>
      <c r="F197" s="166">
        <v>0</v>
      </c>
      <c r="G197" s="166">
        <v>64847.883999999998</v>
      </c>
      <c r="H197" s="166">
        <v>69306.263000000006</v>
      </c>
      <c r="I197" s="166">
        <v>195815.005</v>
      </c>
      <c r="J197" s="166">
        <v>23320.670999999998</v>
      </c>
      <c r="K197" s="166">
        <v>12004.552</v>
      </c>
      <c r="L197" s="166">
        <v>34920.444000000003</v>
      </c>
      <c r="M197" s="166">
        <v>1518.5815</v>
      </c>
      <c r="N197" s="166">
        <v>2258.8944999999999</v>
      </c>
      <c r="O197" s="316">
        <v>627099.20604299998</v>
      </c>
      <c r="P197" s="166">
        <v>27768.237912000001</v>
      </c>
      <c r="Q197" s="166">
        <v>-42926.356</v>
      </c>
      <c r="R197" s="166">
        <v>49.972999999999999</v>
      </c>
      <c r="S197" s="166">
        <v>-59.94</v>
      </c>
      <c r="T197" s="166">
        <v>-4740.0330000000004</v>
      </c>
      <c r="U197" s="166">
        <v>-26771.040000000001</v>
      </c>
      <c r="V197" s="316">
        <v>580420.04795499996</v>
      </c>
      <c r="X197" s="186">
        <f t="shared" si="29"/>
        <v>11.05188179671331</v>
      </c>
      <c r="Y197" s="185">
        <f t="shared" si="30"/>
        <v>69.306263000000001</v>
      </c>
      <c r="Z197" s="186">
        <f t="shared" si="32"/>
        <v>31.225522710448629</v>
      </c>
      <c r="AA197" s="185">
        <f t="shared" si="31"/>
        <v>195.81500500000001</v>
      </c>
    </row>
    <row r="198" spans="1:27" ht="14.25">
      <c r="A198" s="293">
        <v>15</v>
      </c>
      <c r="B198" s="166">
        <v>83453.829803999994</v>
      </c>
      <c r="C198" s="166">
        <v>167419.791</v>
      </c>
      <c r="D198" s="166">
        <v>3.0000000000000001E-3</v>
      </c>
      <c r="E198" s="166">
        <v>6368.88</v>
      </c>
      <c r="F198" s="166">
        <v>0</v>
      </c>
      <c r="G198" s="166">
        <v>108499.54300000001</v>
      </c>
      <c r="H198" s="166">
        <v>59169.546000000002</v>
      </c>
      <c r="I198" s="166">
        <v>246058.524</v>
      </c>
      <c r="J198" s="166">
        <v>17558.966</v>
      </c>
      <c r="K198" s="166">
        <v>11579.145</v>
      </c>
      <c r="L198" s="166">
        <v>37847.832000000002</v>
      </c>
      <c r="M198" s="166">
        <v>1486.241</v>
      </c>
      <c r="N198" s="166">
        <v>2173.2359999999999</v>
      </c>
      <c r="O198" s="316">
        <v>741615.53680400003</v>
      </c>
      <c r="P198" s="166">
        <v>25746.784924</v>
      </c>
      <c r="Q198" s="166">
        <v>-30226.236000000001</v>
      </c>
      <c r="R198" s="166">
        <v>51.249000000000002</v>
      </c>
      <c r="S198" s="166">
        <v>-61.624000000000002</v>
      </c>
      <c r="T198" s="166">
        <v>-5353.43</v>
      </c>
      <c r="U198" s="166">
        <v>-37241.127</v>
      </c>
      <c r="V198" s="316">
        <v>694531.153728</v>
      </c>
      <c r="X198" s="186">
        <f t="shared" si="29"/>
        <v>7.9784663432203402</v>
      </c>
      <c r="Y198" s="185">
        <f t="shared" si="30"/>
        <v>59.169546000000004</v>
      </c>
      <c r="Z198" s="186">
        <f t="shared" si="32"/>
        <v>33.17871751452131</v>
      </c>
      <c r="AA198" s="185">
        <f t="shared" si="31"/>
        <v>246.05852400000001</v>
      </c>
    </row>
    <row r="199" spans="1:27" ht="14.25">
      <c r="A199" s="293">
        <v>16</v>
      </c>
      <c r="B199" s="166">
        <v>90700.127756000002</v>
      </c>
      <c r="C199" s="166">
        <v>167805.29</v>
      </c>
      <c r="D199" s="166">
        <v>4.0000000000000001E-3</v>
      </c>
      <c r="E199" s="166">
        <v>6620.64</v>
      </c>
      <c r="F199" s="166">
        <v>0</v>
      </c>
      <c r="G199" s="166">
        <v>153068.12899999999</v>
      </c>
      <c r="H199" s="166">
        <v>41158.324999999997</v>
      </c>
      <c r="I199" s="166">
        <v>249458.56599999999</v>
      </c>
      <c r="J199" s="166">
        <v>21483.258999999998</v>
      </c>
      <c r="K199" s="166">
        <v>11251.898999999999</v>
      </c>
      <c r="L199" s="166">
        <v>42764.292000000001</v>
      </c>
      <c r="M199" s="166">
        <v>1491.2429999999999</v>
      </c>
      <c r="N199" s="166">
        <v>2137.4009999999998</v>
      </c>
      <c r="O199" s="316">
        <v>787939.17575599998</v>
      </c>
      <c r="P199" s="166">
        <v>20526.304403999999</v>
      </c>
      <c r="Q199" s="166">
        <v>-22615.826000000001</v>
      </c>
      <c r="R199" s="166">
        <v>53.100999999999999</v>
      </c>
      <c r="S199" s="166">
        <v>-65.465000000000003</v>
      </c>
      <c r="T199" s="166">
        <v>-5283.62</v>
      </c>
      <c r="U199" s="166">
        <v>-61322.830999999998</v>
      </c>
      <c r="V199" s="316">
        <v>719230.83915999997</v>
      </c>
      <c r="X199" s="186">
        <f t="shared" si="29"/>
        <v>5.2235408856921</v>
      </c>
      <c r="Y199" s="185">
        <f t="shared" si="30"/>
        <v>41.158324999999998</v>
      </c>
      <c r="Z199" s="186">
        <f t="shared" si="32"/>
        <v>31.659622173329971</v>
      </c>
      <c r="AA199" s="185">
        <f t="shared" si="31"/>
        <v>249.45856599999999</v>
      </c>
    </row>
    <row r="200" spans="1:27" ht="14.25">
      <c r="A200" s="293">
        <v>17</v>
      </c>
      <c r="B200" s="166">
        <v>85745.308552000002</v>
      </c>
      <c r="C200" s="166">
        <v>167504.984</v>
      </c>
      <c r="D200" s="166">
        <v>3.0000000000000001E-3</v>
      </c>
      <c r="E200" s="166">
        <v>6301.6639999999998</v>
      </c>
      <c r="F200" s="166">
        <v>0</v>
      </c>
      <c r="G200" s="166">
        <v>145496.75899999999</v>
      </c>
      <c r="H200" s="166">
        <v>83787.498000000007</v>
      </c>
      <c r="I200" s="166">
        <v>247234.742</v>
      </c>
      <c r="J200" s="166">
        <v>22144.743999999999</v>
      </c>
      <c r="K200" s="166">
        <v>11471.875</v>
      </c>
      <c r="L200" s="166">
        <v>42348.160000000003</v>
      </c>
      <c r="M200" s="166">
        <v>1352.915</v>
      </c>
      <c r="N200" s="166">
        <v>1857.4559999999999</v>
      </c>
      <c r="O200" s="316">
        <v>815246.10855200002</v>
      </c>
      <c r="P200" s="166">
        <v>16313.22048</v>
      </c>
      <c r="Q200" s="166">
        <v>-24312.128000000001</v>
      </c>
      <c r="R200" s="166">
        <v>49.182000000000002</v>
      </c>
      <c r="S200" s="166">
        <v>-57.591000000000001</v>
      </c>
      <c r="T200" s="166">
        <v>-6102.2160000000003</v>
      </c>
      <c r="U200" s="166">
        <v>-67220.206000000006</v>
      </c>
      <c r="V200" s="316">
        <v>733916.37003200001</v>
      </c>
      <c r="X200" s="186">
        <f t="shared" si="29"/>
        <v>10.277571045241691</v>
      </c>
      <c r="Y200" s="185">
        <f t="shared" si="30"/>
        <v>83.787498000000014</v>
      </c>
      <c r="Z200" s="186">
        <f t="shared" si="32"/>
        <v>30.326393392925993</v>
      </c>
      <c r="AA200" s="185">
        <f t="shared" si="31"/>
        <v>247.23474200000001</v>
      </c>
    </row>
    <row r="201" spans="1:27" ht="14.25">
      <c r="A201" s="293">
        <v>18</v>
      </c>
      <c r="B201" s="166">
        <v>75628.50288</v>
      </c>
      <c r="C201" s="166">
        <v>167830.389</v>
      </c>
      <c r="D201" s="166">
        <v>4.0000000000000001E-3</v>
      </c>
      <c r="E201" s="166">
        <v>6302.3919999999998</v>
      </c>
      <c r="F201" s="166">
        <v>0</v>
      </c>
      <c r="G201" s="166">
        <v>141667.07199999999</v>
      </c>
      <c r="H201" s="166">
        <v>110678.595</v>
      </c>
      <c r="I201" s="166">
        <v>254687.20300000001</v>
      </c>
      <c r="J201" s="166">
        <v>22203.365000000002</v>
      </c>
      <c r="K201" s="166">
        <v>11476.641</v>
      </c>
      <c r="L201" s="166">
        <v>42928.326999999997</v>
      </c>
      <c r="M201" s="166">
        <v>1651.0345</v>
      </c>
      <c r="N201" s="166">
        <v>2129.8364999999999</v>
      </c>
      <c r="O201" s="316">
        <v>837183.36187999998</v>
      </c>
      <c r="P201" s="166">
        <v>15393.327624</v>
      </c>
      <c r="Q201" s="166">
        <v>-30731.252</v>
      </c>
      <c r="R201" s="166">
        <v>47.378999999999998</v>
      </c>
      <c r="S201" s="166">
        <v>-59.19</v>
      </c>
      <c r="T201" s="166">
        <v>-3035.5340000000001</v>
      </c>
      <c r="U201" s="166">
        <v>-79071</v>
      </c>
      <c r="V201" s="316">
        <v>739727.09250399994</v>
      </c>
      <c r="X201" s="186">
        <f t="shared" si="29"/>
        <v>13.220352916648674</v>
      </c>
      <c r="Y201" s="185">
        <f t="shared" si="30"/>
        <v>110.678595</v>
      </c>
      <c r="Z201" s="186">
        <f t="shared" si="32"/>
        <v>30.421914074841144</v>
      </c>
      <c r="AA201" s="185">
        <f t="shared" si="31"/>
        <v>254.68720300000001</v>
      </c>
    </row>
    <row r="202" spans="1:27" ht="14.25">
      <c r="A202" s="293">
        <v>19</v>
      </c>
      <c r="B202" s="166">
        <v>80904.019604999994</v>
      </c>
      <c r="C202" s="166">
        <v>167711.86199999999</v>
      </c>
      <c r="D202" s="166">
        <v>4.0000000000000001E-3</v>
      </c>
      <c r="E202" s="166">
        <v>6296.6880000000001</v>
      </c>
      <c r="F202" s="166">
        <v>0</v>
      </c>
      <c r="G202" s="166">
        <v>143280.77299999999</v>
      </c>
      <c r="H202" s="166">
        <v>112572.58199999999</v>
      </c>
      <c r="I202" s="166">
        <v>253764.932</v>
      </c>
      <c r="J202" s="166">
        <v>18177.362000000001</v>
      </c>
      <c r="K202" s="166">
        <v>10262.165999999999</v>
      </c>
      <c r="L202" s="166">
        <v>42329.623</v>
      </c>
      <c r="M202" s="166">
        <v>2086.239</v>
      </c>
      <c r="N202" s="166">
        <v>2623.3380000000002</v>
      </c>
      <c r="O202" s="316">
        <v>840009.58860500006</v>
      </c>
      <c r="P202" s="166">
        <v>20198.111588</v>
      </c>
      <c r="Q202" s="166">
        <v>-32959.517</v>
      </c>
      <c r="R202" s="166">
        <v>47.661000000000001</v>
      </c>
      <c r="S202" s="166">
        <v>-55.936</v>
      </c>
      <c r="T202" s="166">
        <v>-3063.3119999999999</v>
      </c>
      <c r="U202" s="166">
        <v>-83878.313999999998</v>
      </c>
      <c r="V202" s="316">
        <v>740298.28219299996</v>
      </c>
      <c r="X202" s="186">
        <f t="shared" si="29"/>
        <v>13.401344880711271</v>
      </c>
      <c r="Y202" s="185">
        <f t="shared" si="30"/>
        <v>112.572582</v>
      </c>
      <c r="Z202" s="186">
        <f t="shared" si="32"/>
        <v>30.209766107721009</v>
      </c>
      <c r="AA202" s="185">
        <f t="shared" si="31"/>
        <v>253.76493199999999</v>
      </c>
    </row>
    <row r="203" spans="1:27" ht="14.25">
      <c r="A203" s="293">
        <v>20</v>
      </c>
      <c r="B203" s="166">
        <v>57705.538487999998</v>
      </c>
      <c r="C203" s="166">
        <v>167090.97200000001</v>
      </c>
      <c r="D203" s="166">
        <v>2E-3</v>
      </c>
      <c r="E203" s="166">
        <v>5608.9920000000002</v>
      </c>
      <c r="F203" s="166">
        <v>0</v>
      </c>
      <c r="G203" s="166">
        <v>95184.56</v>
      </c>
      <c r="H203" s="166">
        <v>141179.56099999999</v>
      </c>
      <c r="I203" s="166">
        <v>229129.42</v>
      </c>
      <c r="J203" s="166">
        <v>17486.891</v>
      </c>
      <c r="K203" s="166">
        <v>10884.257</v>
      </c>
      <c r="L203" s="166">
        <v>38750.057000000001</v>
      </c>
      <c r="M203" s="166">
        <v>2090.674</v>
      </c>
      <c r="N203" s="166">
        <v>2770.9720000000002</v>
      </c>
      <c r="O203" s="316">
        <v>767881.89648800006</v>
      </c>
      <c r="P203" s="166">
        <v>24803.082144</v>
      </c>
      <c r="Q203" s="166">
        <v>-45304.2</v>
      </c>
      <c r="R203" s="166">
        <v>45.777000000000001</v>
      </c>
      <c r="S203" s="166">
        <v>-54.915999999999997</v>
      </c>
      <c r="T203" s="166">
        <v>-3102.6239999999998</v>
      </c>
      <c r="U203" s="166">
        <v>-74064.865999999995</v>
      </c>
      <c r="V203" s="316">
        <v>670204.14963200002</v>
      </c>
      <c r="X203" s="186">
        <f t="shared" si="29"/>
        <v>18.385582684746396</v>
      </c>
      <c r="Y203" s="185">
        <f t="shared" si="30"/>
        <v>141.17956099999998</v>
      </c>
      <c r="Z203" s="186">
        <f t="shared" si="32"/>
        <v>29.839148578440366</v>
      </c>
      <c r="AA203" s="185">
        <f t="shared" si="31"/>
        <v>229.12942000000001</v>
      </c>
    </row>
    <row r="204" spans="1:27" ht="14.25">
      <c r="A204" s="293">
        <v>21</v>
      </c>
      <c r="B204" s="166">
        <v>51820.977063999999</v>
      </c>
      <c r="C204" s="166">
        <v>167012.34299999999</v>
      </c>
      <c r="D204" s="166">
        <v>4.0000000000000001E-3</v>
      </c>
      <c r="E204" s="166">
        <v>5626.6639999999998</v>
      </c>
      <c r="F204" s="166">
        <v>0</v>
      </c>
      <c r="G204" s="166">
        <v>89026.365000000005</v>
      </c>
      <c r="H204" s="166">
        <v>159634.307</v>
      </c>
      <c r="I204" s="166">
        <v>225848.56200000001</v>
      </c>
      <c r="J204" s="166">
        <v>18886.577000000001</v>
      </c>
      <c r="K204" s="166">
        <v>10815.885</v>
      </c>
      <c r="L204" s="166">
        <v>35562.214</v>
      </c>
      <c r="M204" s="166">
        <v>2062.4740000000002</v>
      </c>
      <c r="N204" s="166">
        <v>2710.9349999999999</v>
      </c>
      <c r="O204" s="316">
        <v>769007.30706400005</v>
      </c>
      <c r="P204" s="166">
        <v>21426.744819</v>
      </c>
      <c r="Q204" s="166">
        <v>-46906.218000000001</v>
      </c>
      <c r="R204" s="166">
        <v>38.499000000000002</v>
      </c>
      <c r="S204" s="166">
        <v>-51.420999999999999</v>
      </c>
      <c r="T204" s="166">
        <v>-3011.127</v>
      </c>
      <c r="U204" s="166">
        <v>-97616.339000000007</v>
      </c>
      <c r="V204" s="316">
        <v>642887.44588300004</v>
      </c>
      <c r="X204" s="186">
        <f t="shared" si="29"/>
        <v>20.758490268378498</v>
      </c>
      <c r="Y204" s="185">
        <f t="shared" si="30"/>
        <v>159.63430700000001</v>
      </c>
      <c r="Z204" s="186">
        <f t="shared" si="32"/>
        <v>29.368844733383519</v>
      </c>
      <c r="AA204" s="185">
        <f t="shared" si="31"/>
        <v>225.84856200000002</v>
      </c>
    </row>
    <row r="205" spans="1:27" ht="14.25">
      <c r="A205" s="293">
        <v>22</v>
      </c>
      <c r="B205" s="166">
        <v>82957.134474999999</v>
      </c>
      <c r="C205" s="166">
        <v>166867.459</v>
      </c>
      <c r="D205" s="166">
        <v>1028.6320000000001</v>
      </c>
      <c r="E205" s="166">
        <v>9085.2880000000005</v>
      </c>
      <c r="F205" s="166">
        <v>0</v>
      </c>
      <c r="G205" s="166">
        <v>158057.94399999999</v>
      </c>
      <c r="H205" s="166">
        <v>140943.30100000001</v>
      </c>
      <c r="I205" s="166">
        <v>238146.726</v>
      </c>
      <c r="J205" s="166">
        <v>13673.416999999999</v>
      </c>
      <c r="K205" s="166">
        <v>10914.593999999999</v>
      </c>
      <c r="L205" s="166">
        <v>40458.06</v>
      </c>
      <c r="M205" s="166">
        <v>2176.2604999999999</v>
      </c>
      <c r="N205" s="166">
        <v>2916.8805000000002</v>
      </c>
      <c r="O205" s="316">
        <v>867225.696475</v>
      </c>
      <c r="P205" s="166">
        <v>20340.782917</v>
      </c>
      <c r="Q205" s="166">
        <v>-25007.425999999999</v>
      </c>
      <c r="R205" s="166">
        <v>35.335000000000001</v>
      </c>
      <c r="S205" s="166">
        <v>-46.253999999999998</v>
      </c>
      <c r="T205" s="166">
        <v>-3080.8939999999998</v>
      </c>
      <c r="U205" s="166">
        <v>-89205.823000000004</v>
      </c>
      <c r="V205" s="316">
        <v>770261.41739199997</v>
      </c>
      <c r="X205" s="186">
        <f t="shared" si="29"/>
        <v>16.252205345493135</v>
      </c>
      <c r="Y205" s="185">
        <f t="shared" si="30"/>
        <v>140.94330100000002</v>
      </c>
      <c r="Z205" s="186">
        <f t="shared" si="32"/>
        <v>27.460755252985653</v>
      </c>
      <c r="AA205" s="185">
        <f t="shared" si="31"/>
        <v>238.146726</v>
      </c>
    </row>
    <row r="206" spans="1:27" ht="14.25">
      <c r="A206" s="293">
        <v>23</v>
      </c>
      <c r="B206" s="166">
        <v>98420.246992</v>
      </c>
      <c r="C206" s="166">
        <v>167040.49400000001</v>
      </c>
      <c r="D206" s="166">
        <v>4007.674</v>
      </c>
      <c r="E206" s="166">
        <v>8993.5679999999993</v>
      </c>
      <c r="F206" s="166">
        <v>0</v>
      </c>
      <c r="G206" s="166">
        <v>179250.177</v>
      </c>
      <c r="H206" s="166">
        <v>111284.20699999999</v>
      </c>
      <c r="I206" s="166">
        <v>246830.83</v>
      </c>
      <c r="J206" s="166">
        <v>8715.2929999999997</v>
      </c>
      <c r="K206" s="166">
        <v>10712.819</v>
      </c>
      <c r="L206" s="166">
        <v>40382.862999999998</v>
      </c>
      <c r="M206" s="166">
        <v>2128.9614999999999</v>
      </c>
      <c r="N206" s="166">
        <v>3016.8955000000001</v>
      </c>
      <c r="O206" s="316">
        <v>880784.02899200004</v>
      </c>
      <c r="P206" s="166">
        <v>16035.025584000001</v>
      </c>
      <c r="Q206" s="166">
        <v>-20564.544000000002</v>
      </c>
      <c r="R206" s="166">
        <v>38.231999999999999</v>
      </c>
      <c r="S206" s="166">
        <v>-46.597000000000001</v>
      </c>
      <c r="T206" s="166">
        <v>-3281.645</v>
      </c>
      <c r="U206" s="166">
        <v>-88513.653999999995</v>
      </c>
      <c r="V206" s="316">
        <v>784450.84657599998</v>
      </c>
      <c r="X206" s="186">
        <f t="shared" si="29"/>
        <v>12.634675849805943</v>
      </c>
      <c r="Y206" s="185">
        <f t="shared" si="30"/>
        <v>111.28420699999999</v>
      </c>
      <c r="Z206" s="186">
        <f t="shared" si="32"/>
        <v>28.023990203646381</v>
      </c>
      <c r="AA206" s="185">
        <f t="shared" si="31"/>
        <v>246.83082999999999</v>
      </c>
    </row>
    <row r="207" spans="1:27" ht="14.25">
      <c r="A207" s="293">
        <v>24</v>
      </c>
      <c r="B207" s="166">
        <v>91760.014616</v>
      </c>
      <c r="C207" s="166">
        <v>167545.37700000001</v>
      </c>
      <c r="D207" s="166">
        <v>4005.5529999999999</v>
      </c>
      <c r="E207" s="166">
        <v>9537.56</v>
      </c>
      <c r="F207" s="166">
        <v>0</v>
      </c>
      <c r="G207" s="166">
        <v>165189.20800000001</v>
      </c>
      <c r="H207" s="166">
        <v>116426.28200000001</v>
      </c>
      <c r="I207" s="166">
        <v>240166.389</v>
      </c>
      <c r="J207" s="166">
        <v>14756.182000000001</v>
      </c>
      <c r="K207" s="166">
        <v>11796.377</v>
      </c>
      <c r="L207" s="166">
        <v>40271.114000000001</v>
      </c>
      <c r="M207" s="166">
        <v>2061.7139999999999</v>
      </c>
      <c r="N207" s="166">
        <v>2838.9110000000001</v>
      </c>
      <c r="O207" s="316">
        <v>866354.68161600002</v>
      </c>
      <c r="P207" s="166">
        <v>21569.367419999999</v>
      </c>
      <c r="Q207" s="166">
        <v>-29427.359</v>
      </c>
      <c r="R207" s="166">
        <v>28.334</v>
      </c>
      <c r="S207" s="166">
        <v>-35.951000000000001</v>
      </c>
      <c r="T207" s="166">
        <v>-3192.0050000000001</v>
      </c>
      <c r="U207" s="166">
        <v>-112145.497</v>
      </c>
      <c r="V207" s="316">
        <v>743151.57103600004</v>
      </c>
      <c r="X207" s="186">
        <f>IFERROR($H207/$O207*100,"")</f>
        <v>13.438639447625722</v>
      </c>
      <c r="Y207" s="185">
        <f t="shared" si="30"/>
        <v>116.426282</v>
      </c>
      <c r="Z207" s="186">
        <f t="shared" si="32"/>
        <v>27.721485679747325</v>
      </c>
      <c r="AA207" s="185">
        <f t="shared" si="31"/>
        <v>240.16638900000001</v>
      </c>
    </row>
    <row r="208" spans="1:27" ht="14.25">
      <c r="A208" s="293">
        <v>25</v>
      </c>
      <c r="B208" s="166">
        <v>79020.803983999998</v>
      </c>
      <c r="C208" s="166">
        <v>167664.21599999999</v>
      </c>
      <c r="D208" s="166">
        <v>4032.723</v>
      </c>
      <c r="E208" s="166">
        <v>10033.031999999999</v>
      </c>
      <c r="F208" s="166">
        <v>0</v>
      </c>
      <c r="G208" s="166">
        <v>158598.24900000001</v>
      </c>
      <c r="H208" s="166">
        <v>156086.152</v>
      </c>
      <c r="I208" s="166">
        <v>233949.85800000001</v>
      </c>
      <c r="J208" s="166">
        <v>18121.022000000001</v>
      </c>
      <c r="K208" s="166">
        <v>11136.291999999999</v>
      </c>
      <c r="L208" s="166">
        <v>39750.51</v>
      </c>
      <c r="M208" s="166">
        <v>2060.7510000000002</v>
      </c>
      <c r="N208" s="166">
        <v>2837.6</v>
      </c>
      <c r="O208" s="316">
        <v>883291.20898400003</v>
      </c>
      <c r="P208" s="166">
        <v>24342.825624000001</v>
      </c>
      <c r="Q208" s="166">
        <v>-34391.466999999997</v>
      </c>
      <c r="R208" s="166">
        <v>37.087000000000003</v>
      </c>
      <c r="S208" s="166">
        <v>-41.667000000000002</v>
      </c>
      <c r="T208" s="166">
        <v>-3316.7660000000001</v>
      </c>
      <c r="U208" s="166">
        <v>-99271.766000000003</v>
      </c>
      <c r="V208" s="316">
        <v>770649.45560800005</v>
      </c>
      <c r="X208" s="186">
        <f t="shared" si="29"/>
        <v>17.670973107446304</v>
      </c>
      <c r="Y208" s="185">
        <f t="shared" si="30"/>
        <v>156.086152</v>
      </c>
      <c r="Z208" s="186">
        <f t="shared" si="32"/>
        <v>26.486152655034267</v>
      </c>
      <c r="AA208" s="185">
        <f t="shared" si="31"/>
        <v>233.94985800000001</v>
      </c>
    </row>
    <row r="209" spans="1:27" ht="14.25">
      <c r="A209" s="293">
        <v>26</v>
      </c>
      <c r="B209" s="166">
        <v>81489.121188999998</v>
      </c>
      <c r="C209" s="166">
        <v>167697.25200000001</v>
      </c>
      <c r="D209" s="166">
        <v>3.0000000000000001E-3</v>
      </c>
      <c r="E209" s="166">
        <v>10032.736000000001</v>
      </c>
      <c r="F209" s="166">
        <v>0</v>
      </c>
      <c r="G209" s="166">
        <v>157213.15</v>
      </c>
      <c r="H209" s="166">
        <v>99887.316999999995</v>
      </c>
      <c r="I209" s="166">
        <v>266029.739</v>
      </c>
      <c r="J209" s="166">
        <v>22575.812000000002</v>
      </c>
      <c r="K209" s="166">
        <v>11663.062</v>
      </c>
      <c r="L209" s="166">
        <v>41047.54</v>
      </c>
      <c r="M209" s="166">
        <v>2153.154</v>
      </c>
      <c r="N209" s="166">
        <v>3101.5520000000001</v>
      </c>
      <c r="O209" s="316">
        <v>862890.43818900001</v>
      </c>
      <c r="P209" s="166">
        <v>19978.688116000001</v>
      </c>
      <c r="Q209" s="166">
        <v>-29694.167000000001</v>
      </c>
      <c r="R209" s="166">
        <v>37.996000000000002</v>
      </c>
      <c r="S209" s="166">
        <v>-49.095999999999997</v>
      </c>
      <c r="T209" s="166">
        <v>-5582.2610000000004</v>
      </c>
      <c r="U209" s="166">
        <v>-91860.463000000003</v>
      </c>
      <c r="V209" s="316">
        <v>755721.135305</v>
      </c>
      <c r="X209" s="186">
        <f t="shared" si="29"/>
        <v>11.575898002722051</v>
      </c>
      <c r="Y209" s="185">
        <f t="shared" si="30"/>
        <v>99.887316999999996</v>
      </c>
      <c r="Z209" s="186">
        <f t="shared" si="32"/>
        <v>30.830071493008148</v>
      </c>
      <c r="AA209" s="185">
        <f t="shared" si="31"/>
        <v>266.02973900000001</v>
      </c>
    </row>
    <row r="210" spans="1:27" ht="14.25">
      <c r="A210" s="293">
        <v>27</v>
      </c>
      <c r="B210" s="166">
        <v>67893.407955000002</v>
      </c>
      <c r="C210" s="166">
        <v>167528.03599999999</v>
      </c>
      <c r="D210" s="166">
        <v>4.0000000000000001E-3</v>
      </c>
      <c r="E210" s="166">
        <v>6838.5119999999997</v>
      </c>
      <c r="F210" s="166">
        <v>0</v>
      </c>
      <c r="G210" s="166">
        <v>142556.508</v>
      </c>
      <c r="H210" s="166">
        <v>91929.368000000002</v>
      </c>
      <c r="I210" s="166">
        <v>246757.538</v>
      </c>
      <c r="J210" s="166">
        <v>27148.314999999999</v>
      </c>
      <c r="K210" s="166">
        <v>11992.380999999999</v>
      </c>
      <c r="L210" s="166">
        <v>38675.875</v>
      </c>
      <c r="M210" s="166">
        <v>2152.152</v>
      </c>
      <c r="N210" s="166">
        <v>2956.7550000000001</v>
      </c>
      <c r="O210" s="316">
        <v>806428.85195499996</v>
      </c>
      <c r="P210" s="166">
        <v>22969.895196000001</v>
      </c>
      <c r="Q210" s="166">
        <v>-45111.122000000003</v>
      </c>
      <c r="R210" s="166">
        <v>38.515999999999998</v>
      </c>
      <c r="S210" s="166">
        <v>-47.005000000000003</v>
      </c>
      <c r="T210" s="166">
        <v>-7158.11</v>
      </c>
      <c r="U210" s="166">
        <v>-99108.017000000007</v>
      </c>
      <c r="V210" s="316">
        <v>678013.00915099995</v>
      </c>
      <c r="X210" s="186">
        <f t="shared" si="29"/>
        <v>11.399563368440816</v>
      </c>
      <c r="Y210" s="185">
        <f t="shared" si="30"/>
        <v>91.929367999999997</v>
      </c>
      <c r="Z210" s="186">
        <f t="shared" si="32"/>
        <v>30.598798319503761</v>
      </c>
      <c r="AA210" s="185">
        <f t="shared" si="31"/>
        <v>246.75753800000001</v>
      </c>
    </row>
    <row r="211" spans="1:27" ht="14.25">
      <c r="A211" s="293">
        <v>28</v>
      </c>
      <c r="B211" s="166">
        <v>55827.676828000003</v>
      </c>
      <c r="C211" s="166">
        <v>167226.73000000001</v>
      </c>
      <c r="D211" s="166">
        <v>4.0000000000000001E-3</v>
      </c>
      <c r="E211" s="166">
        <v>6665.0720000000001</v>
      </c>
      <c r="F211" s="166">
        <v>0</v>
      </c>
      <c r="G211" s="166">
        <v>104750.09</v>
      </c>
      <c r="H211" s="166">
        <v>103798.086</v>
      </c>
      <c r="I211" s="166">
        <v>205590.02100000001</v>
      </c>
      <c r="J211" s="166">
        <v>22259.48</v>
      </c>
      <c r="K211" s="166">
        <v>11464.348</v>
      </c>
      <c r="L211" s="166">
        <v>37310.559000000001</v>
      </c>
      <c r="M211" s="166">
        <v>2059.9845</v>
      </c>
      <c r="N211" s="166">
        <v>2797.2435</v>
      </c>
      <c r="O211" s="316">
        <v>719749.29482800001</v>
      </c>
      <c r="P211" s="166">
        <v>20684.848224000001</v>
      </c>
      <c r="Q211" s="166">
        <v>-44023.966999999997</v>
      </c>
      <c r="R211" s="166">
        <v>37.865000000000002</v>
      </c>
      <c r="S211" s="166">
        <v>-45.923000000000002</v>
      </c>
      <c r="T211" s="166">
        <v>-7115.4290000000001</v>
      </c>
      <c r="U211" s="166">
        <v>-50566.635000000002</v>
      </c>
      <c r="V211" s="316">
        <v>638720.05405200005</v>
      </c>
      <c r="X211" s="186">
        <f t="shared" si="29"/>
        <v>14.42142239608652</v>
      </c>
      <c r="Y211" s="185">
        <f t="shared" si="30"/>
        <v>103.798086</v>
      </c>
      <c r="Z211" s="186">
        <f t="shared" si="32"/>
        <v>28.564115654900402</v>
      </c>
      <c r="AA211" s="185">
        <f t="shared" si="31"/>
        <v>205.59002100000001</v>
      </c>
    </row>
    <row r="212" spans="1:27" ht="14.25">
      <c r="A212" s="293">
        <v>29</v>
      </c>
      <c r="B212" s="166">
        <v>71229.014020000002</v>
      </c>
      <c r="C212" s="166">
        <v>167495.64199999999</v>
      </c>
      <c r="D212" s="166">
        <v>3.0000000000000001E-3</v>
      </c>
      <c r="E212" s="166">
        <v>9078.4639999999999</v>
      </c>
      <c r="F212" s="166">
        <v>0</v>
      </c>
      <c r="G212" s="166">
        <v>113374.14599999999</v>
      </c>
      <c r="H212" s="166">
        <v>180241.894</v>
      </c>
      <c r="I212" s="166">
        <v>242894.10699999999</v>
      </c>
      <c r="J212" s="166">
        <v>23643.877</v>
      </c>
      <c r="K212" s="166">
        <v>10752.998</v>
      </c>
      <c r="L212" s="166">
        <v>39995.953999999998</v>
      </c>
      <c r="M212" s="166">
        <v>2082.3069999999998</v>
      </c>
      <c r="N212" s="166">
        <v>2807.03</v>
      </c>
      <c r="O212" s="316">
        <v>863595.43602000002</v>
      </c>
      <c r="P212" s="166">
        <v>18893.398700000002</v>
      </c>
      <c r="Q212" s="166">
        <v>-22988.462</v>
      </c>
      <c r="R212" s="166">
        <v>43.034999999999997</v>
      </c>
      <c r="S212" s="166">
        <v>-44.655000000000001</v>
      </c>
      <c r="T212" s="166">
        <v>-7115.5150000000003</v>
      </c>
      <c r="U212" s="166">
        <v>-102072.47100000001</v>
      </c>
      <c r="V212" s="316">
        <v>750310.76671999996</v>
      </c>
      <c r="X212" s="186">
        <f t="shared" si="29"/>
        <v>20.871103121001877</v>
      </c>
      <c r="Y212" s="185">
        <f t="shared" si="30"/>
        <v>180.241894</v>
      </c>
      <c r="Z212" s="186">
        <f t="shared" si="32"/>
        <v>28.125913693964311</v>
      </c>
      <c r="AA212" s="185">
        <f t="shared" si="31"/>
        <v>242.89410699999999</v>
      </c>
    </row>
    <row r="213" spans="1:27" ht="14.25">
      <c r="A213" s="293">
        <v>30</v>
      </c>
      <c r="B213" s="166">
        <v>82795.709019999995</v>
      </c>
      <c r="C213" s="166">
        <v>166776.46599999999</v>
      </c>
      <c r="D213" s="166">
        <v>4.0000000000000001E-3</v>
      </c>
      <c r="E213" s="166">
        <v>8981.4639999999999</v>
      </c>
      <c r="F213" s="166">
        <v>0</v>
      </c>
      <c r="G213" s="166">
        <v>145983.99100000001</v>
      </c>
      <c r="H213" s="166">
        <v>134497.91899999999</v>
      </c>
      <c r="I213" s="166">
        <v>256668.345</v>
      </c>
      <c r="J213" s="166">
        <v>23523.614000000001</v>
      </c>
      <c r="K213" s="166">
        <v>10065.027</v>
      </c>
      <c r="L213" s="166">
        <v>40257.807999999997</v>
      </c>
      <c r="M213" s="166">
        <v>2168.6439999999998</v>
      </c>
      <c r="N213" s="166">
        <v>2900.875</v>
      </c>
      <c r="O213" s="316">
        <v>874619.86601999996</v>
      </c>
      <c r="P213" s="166">
        <v>18017.272971999999</v>
      </c>
      <c r="Q213" s="166">
        <v>-16377.407999999999</v>
      </c>
      <c r="R213" s="166">
        <v>41.838999999999999</v>
      </c>
      <c r="S213" s="166">
        <v>-49.591000000000001</v>
      </c>
      <c r="T213" s="166">
        <v>-7275.96</v>
      </c>
      <c r="U213" s="166">
        <v>-81555.536999999997</v>
      </c>
      <c r="V213" s="316">
        <v>787420.48199200002</v>
      </c>
      <c r="X213" s="186">
        <f t="shared" si="29"/>
        <v>15.377871487419933</v>
      </c>
      <c r="Y213" s="185">
        <f t="shared" si="30"/>
        <v>134.497919</v>
      </c>
      <c r="Z213" s="186">
        <f t="shared" si="32"/>
        <v>29.346274304056429</v>
      </c>
      <c r="AA213" s="185">
        <f t="shared" si="31"/>
        <v>256.66834499999999</v>
      </c>
    </row>
    <row r="214" spans="1:27" ht="14.25">
      <c r="X214" s="186" t="str">
        <f t="shared" si="29"/>
        <v/>
      </c>
      <c r="Y214" s="185" t="str">
        <f t="shared" si="30"/>
        <v/>
      </c>
      <c r="Z214" s="186" t="str">
        <f t="shared" si="32"/>
        <v/>
      </c>
      <c r="AA214" s="185" t="str">
        <f t="shared" si="31"/>
        <v/>
      </c>
    </row>
    <row r="216" spans="1:27" ht="14.25">
      <c r="H216">
        <f>MAX(H184:H214)</f>
        <v>197934.606</v>
      </c>
      <c r="I216">
        <f>MAX(I184:I214)</f>
        <v>266029.739</v>
      </c>
      <c r="W216" s="258"/>
      <c r="Y216" s="259"/>
    </row>
    <row r="219" spans="1:27">
      <c r="A219" s="163" t="s">
        <v>29</v>
      </c>
      <c r="B219" s="341" t="s">
        <v>298</v>
      </c>
      <c r="C219" s="342"/>
      <c r="D219" s="342"/>
      <c r="E219" s="342"/>
      <c r="F219" s="342"/>
      <c r="G219" s="342"/>
      <c r="H219" s="342"/>
      <c r="I219" s="342"/>
      <c r="J219" s="342"/>
      <c r="K219" s="342"/>
      <c r="L219" s="342"/>
      <c r="M219" s="342"/>
      <c r="N219" s="342"/>
      <c r="O219" s="342"/>
      <c r="P219" s="342"/>
      <c r="Q219" s="342"/>
      <c r="R219" s="342"/>
      <c r="S219" s="342"/>
      <c r="T219" s="342"/>
      <c r="U219" s="342"/>
      <c r="V219" s="342"/>
    </row>
    <row r="220" spans="1:27">
      <c r="A220" s="163" t="s">
        <v>100</v>
      </c>
      <c r="B220" s="347" t="s">
        <v>93</v>
      </c>
      <c r="C220" s="348"/>
      <c r="D220" s="348"/>
      <c r="E220" s="348"/>
      <c r="F220" s="348"/>
      <c r="G220" s="348"/>
      <c r="H220" s="348"/>
      <c r="I220" s="348"/>
      <c r="J220" s="348"/>
      <c r="K220" s="348"/>
      <c r="L220" s="348"/>
      <c r="M220" s="348"/>
      <c r="N220" s="348"/>
      <c r="O220" s="348"/>
      <c r="P220" s="348"/>
      <c r="Q220" s="348"/>
      <c r="R220" s="348"/>
      <c r="S220" s="348"/>
      <c r="T220" s="348"/>
      <c r="U220" s="348"/>
      <c r="V220" s="348"/>
    </row>
    <row r="221" spans="1:27">
      <c r="A221" s="163" t="s">
        <v>101</v>
      </c>
      <c r="B221" s="345" t="s">
        <v>114</v>
      </c>
      <c r="C221" s="346"/>
      <c r="D221" s="346"/>
      <c r="E221" s="346"/>
      <c r="F221" s="346"/>
      <c r="G221" s="346"/>
      <c r="H221" s="346"/>
      <c r="I221" s="346"/>
      <c r="J221" s="346"/>
      <c r="K221" s="346"/>
      <c r="L221" s="346"/>
      <c r="M221" s="346"/>
      <c r="N221" s="346"/>
      <c r="O221" s="346"/>
      <c r="P221" s="346"/>
      <c r="Q221" s="346"/>
      <c r="R221" s="346"/>
      <c r="S221" s="346"/>
      <c r="T221" s="346"/>
      <c r="U221" s="346"/>
      <c r="V221" s="346"/>
    </row>
    <row r="222" spans="1:27">
      <c r="A222" s="167" t="s">
        <v>102</v>
      </c>
      <c r="B222" s="269" t="s">
        <v>2</v>
      </c>
      <c r="C222" s="269" t="s">
        <v>3</v>
      </c>
      <c r="D222" s="269" t="s">
        <v>4</v>
      </c>
      <c r="E222" s="269" t="s">
        <v>135</v>
      </c>
      <c r="F222" s="269" t="s">
        <v>219</v>
      </c>
      <c r="G222" s="269" t="s">
        <v>11</v>
      </c>
      <c r="H222" s="269" t="s">
        <v>5</v>
      </c>
      <c r="I222" s="269" t="s">
        <v>6</v>
      </c>
      <c r="J222" s="269" t="s">
        <v>7</v>
      </c>
      <c r="K222" s="269" t="s">
        <v>8</v>
      </c>
      <c r="L222" s="269" t="s">
        <v>9</v>
      </c>
      <c r="M222" s="269" t="s">
        <v>66</v>
      </c>
      <c r="N222" s="269" t="s">
        <v>67</v>
      </c>
      <c r="O222" s="182" t="s">
        <v>10</v>
      </c>
      <c r="P222" s="269" t="s">
        <v>78</v>
      </c>
      <c r="Q222" s="269" t="s">
        <v>115</v>
      </c>
      <c r="R222" s="269" t="s">
        <v>193</v>
      </c>
      <c r="S222" s="269" t="s">
        <v>194</v>
      </c>
      <c r="T222" s="269" t="s">
        <v>92</v>
      </c>
      <c r="U222" s="269" t="s">
        <v>116</v>
      </c>
      <c r="V222" s="182" t="s">
        <v>117</v>
      </c>
      <c r="X222" s="184" t="s">
        <v>118</v>
      </c>
    </row>
    <row r="223" spans="1:27" ht="14.25">
      <c r="A223" s="167" t="s">
        <v>113</v>
      </c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183"/>
      <c r="P223" s="252"/>
      <c r="Q223" s="252"/>
      <c r="R223" s="252"/>
      <c r="S223" s="252"/>
      <c r="T223" s="252"/>
      <c r="U223" s="252"/>
      <c r="V223" s="183"/>
      <c r="X223" s="185"/>
    </row>
    <row r="224" spans="1:27" ht="14.25">
      <c r="A224" s="293">
        <v>1</v>
      </c>
      <c r="B224" s="166">
        <v>2.8970263959999998</v>
      </c>
      <c r="C224" s="166">
        <v>6.0191720000000002</v>
      </c>
      <c r="D224" s="166">
        <v>9.9999999999999995E-7</v>
      </c>
      <c r="E224" s="166">
        <v>0.232568</v>
      </c>
      <c r="F224" s="166">
        <v>0</v>
      </c>
      <c r="G224" s="166">
        <v>2.2803819999999999</v>
      </c>
      <c r="H224" s="166">
        <v>12.111942000000001</v>
      </c>
      <c r="I224" s="166">
        <v>2.1640000000000001E-3</v>
      </c>
      <c r="J224" s="166">
        <v>0.588368</v>
      </c>
      <c r="K224" s="166">
        <v>0.45048700000000003</v>
      </c>
      <c r="L224" s="166">
        <v>1.613559</v>
      </c>
      <c r="M224" s="166">
        <v>6.0770499999999998E-2</v>
      </c>
      <c r="N224" s="166">
        <v>9.4796500000000006E-2</v>
      </c>
      <c r="O224" s="316">
        <v>26.351236396000001</v>
      </c>
      <c r="P224" s="166">
        <v>0.94198550000000003</v>
      </c>
      <c r="Q224" s="166">
        <v>-4.1310000000000001E-3</v>
      </c>
      <c r="R224" s="166">
        <v>9.5100000000000002E-4</v>
      </c>
      <c r="S224" s="166">
        <v>-2.6899999999999998E-4</v>
      </c>
      <c r="T224" s="166">
        <v>-0.23630399999999999</v>
      </c>
      <c r="U224" s="166">
        <v>-3.3064999999999997E-2</v>
      </c>
      <c r="V224" s="316">
        <v>27.020403896000001</v>
      </c>
      <c r="X224" s="186">
        <f>IFERROR(H224/O224*100,"")</f>
        <v>45.963467588331227</v>
      </c>
    </row>
    <row r="225" spans="1:24" ht="14.25">
      <c r="A225" s="293">
        <v>2</v>
      </c>
      <c r="B225" s="166">
        <v>2.420305768</v>
      </c>
      <c r="C225" s="166">
        <v>6.0250659999999998</v>
      </c>
      <c r="D225" s="166">
        <v>0</v>
      </c>
      <c r="E225" s="166">
        <v>0.23247999999999999</v>
      </c>
      <c r="F225" s="166">
        <v>0</v>
      </c>
      <c r="G225" s="166">
        <v>2.271029</v>
      </c>
      <c r="H225" s="166">
        <v>11.360741000000001</v>
      </c>
      <c r="I225" s="166">
        <v>2.189E-3</v>
      </c>
      <c r="J225" s="166">
        <v>0.58363200000000004</v>
      </c>
      <c r="K225" s="166">
        <v>0.44508799999999998</v>
      </c>
      <c r="L225" s="166">
        <v>1.6102780000000001</v>
      </c>
      <c r="M225" s="166">
        <v>6.0330000000000002E-2</v>
      </c>
      <c r="N225" s="166">
        <v>9.8612000000000005E-2</v>
      </c>
      <c r="O225" s="316">
        <v>25.109750768000001</v>
      </c>
      <c r="P225" s="166">
        <v>0.90333186399999998</v>
      </c>
      <c r="Q225" s="166">
        <v>-8.7408E-2</v>
      </c>
      <c r="R225" s="166">
        <v>0</v>
      </c>
      <c r="S225" s="166">
        <v>-1.65E-4</v>
      </c>
      <c r="T225" s="166">
        <v>-0.203731</v>
      </c>
      <c r="U225" s="166">
        <v>-3.9076E-2</v>
      </c>
      <c r="V225" s="316">
        <v>25.682702632000002</v>
      </c>
      <c r="X225" s="186">
        <f t="shared" ref="X225:X250" si="33">IFERROR(H225/O225*100,"")</f>
        <v>45.244339957679664</v>
      </c>
    </row>
    <row r="226" spans="1:24" ht="14.25">
      <c r="A226" s="293">
        <v>3</v>
      </c>
      <c r="B226" s="166">
        <v>2.2240442840000001</v>
      </c>
      <c r="C226" s="166">
        <v>6.041137</v>
      </c>
      <c r="D226" s="166">
        <v>0</v>
      </c>
      <c r="E226" s="166">
        <v>0.23252</v>
      </c>
      <c r="F226" s="166">
        <v>0</v>
      </c>
      <c r="G226" s="166">
        <v>2.187306</v>
      </c>
      <c r="H226" s="166">
        <v>11.032048</v>
      </c>
      <c r="I226" s="166">
        <v>2.1410000000000001E-3</v>
      </c>
      <c r="J226" s="166">
        <v>0.58402100000000001</v>
      </c>
      <c r="K226" s="166">
        <v>0.44389600000000001</v>
      </c>
      <c r="L226" s="166">
        <v>1.6214150000000001</v>
      </c>
      <c r="M226" s="166">
        <v>6.1658999999999999E-2</v>
      </c>
      <c r="N226" s="166">
        <v>0.103047</v>
      </c>
      <c r="O226" s="316">
        <v>24.533234283999999</v>
      </c>
      <c r="P226" s="166">
        <v>0.78592271599999997</v>
      </c>
      <c r="Q226" s="166">
        <v>-0.32453799999999999</v>
      </c>
      <c r="R226" s="166">
        <v>1.44E-4</v>
      </c>
      <c r="S226" s="166">
        <v>-5.22E-4</v>
      </c>
      <c r="T226" s="166">
        <v>-0.17923700000000001</v>
      </c>
      <c r="U226" s="166">
        <v>-6.5614000000000006E-2</v>
      </c>
      <c r="V226" s="316">
        <v>24.749389999999998</v>
      </c>
      <c r="X226" s="186">
        <f t="shared" si="33"/>
        <v>44.96776850655538</v>
      </c>
    </row>
    <row r="227" spans="1:24" ht="14.25">
      <c r="A227" s="293">
        <v>4</v>
      </c>
      <c r="B227" s="166">
        <v>2.1989590240000001</v>
      </c>
      <c r="C227" s="166">
        <v>6.0436949999999996</v>
      </c>
      <c r="D227" s="166">
        <v>0</v>
      </c>
      <c r="E227" s="166">
        <v>0.23253599999999999</v>
      </c>
      <c r="F227" s="166">
        <v>0</v>
      </c>
      <c r="G227" s="166">
        <v>2.1955520000000002</v>
      </c>
      <c r="H227" s="166">
        <v>10.780924000000001</v>
      </c>
      <c r="I227" s="166">
        <v>2.1150000000000001E-3</v>
      </c>
      <c r="J227" s="166">
        <v>0.58369700000000002</v>
      </c>
      <c r="K227" s="166">
        <v>0.44165300000000002</v>
      </c>
      <c r="L227" s="166">
        <v>1.623739</v>
      </c>
      <c r="M227" s="166">
        <v>6.1227999999999998E-2</v>
      </c>
      <c r="N227" s="166">
        <v>0.102293</v>
      </c>
      <c r="O227" s="316">
        <v>24.266391024000001</v>
      </c>
      <c r="P227" s="166">
        <v>0.63918060799999998</v>
      </c>
      <c r="Q227" s="166">
        <v>-0.40558300000000003</v>
      </c>
      <c r="R227" s="166">
        <v>9.0000000000000002E-6</v>
      </c>
      <c r="S227" s="166">
        <v>-1.4100000000000001E-4</v>
      </c>
      <c r="T227" s="166">
        <v>-0.17863200000000001</v>
      </c>
      <c r="U227" s="166">
        <v>-0.14274999999999999</v>
      </c>
      <c r="V227" s="316">
        <v>24.178474632</v>
      </c>
      <c r="X227" s="186">
        <f t="shared" si="33"/>
        <v>44.427389261705322</v>
      </c>
    </row>
    <row r="228" spans="1:24" ht="14.25">
      <c r="A228" s="293">
        <v>5</v>
      </c>
      <c r="B228" s="166">
        <v>2.1448636520000002</v>
      </c>
      <c r="C228" s="166">
        <v>6.0430919999999997</v>
      </c>
      <c r="D228" s="166">
        <v>0</v>
      </c>
      <c r="E228" s="166">
        <v>0.23247200000000001</v>
      </c>
      <c r="F228" s="166">
        <v>0</v>
      </c>
      <c r="G228" s="166">
        <v>2.125766</v>
      </c>
      <c r="H228" s="166">
        <v>10.491863</v>
      </c>
      <c r="I228" s="166">
        <v>2.1549999999999998E-3</v>
      </c>
      <c r="J228" s="166">
        <v>0.57274899999999995</v>
      </c>
      <c r="K228" s="166">
        <v>0.45188699999999998</v>
      </c>
      <c r="L228" s="166">
        <v>1.63036</v>
      </c>
      <c r="M228" s="166">
        <v>6.1697500000000002E-2</v>
      </c>
      <c r="N228" s="166">
        <v>0.1014065</v>
      </c>
      <c r="O228" s="316">
        <v>23.858311652000001</v>
      </c>
      <c r="P228" s="166">
        <v>0.56553671599999999</v>
      </c>
      <c r="Q228" s="166">
        <v>-0.35253000000000001</v>
      </c>
      <c r="R228" s="166">
        <v>0</v>
      </c>
      <c r="S228" s="166">
        <v>-2.5799999999999998E-4</v>
      </c>
      <c r="T228" s="166">
        <v>-0.17902100000000001</v>
      </c>
      <c r="U228" s="166">
        <v>4.9806999999999997E-2</v>
      </c>
      <c r="V228" s="316">
        <v>23.941846368</v>
      </c>
      <c r="X228" s="186">
        <f t="shared" si="33"/>
        <v>43.975714430406839</v>
      </c>
    </row>
    <row r="229" spans="1:24" ht="14.25">
      <c r="A229" s="293">
        <v>6</v>
      </c>
      <c r="B229" s="166">
        <v>2.2204599040000002</v>
      </c>
      <c r="C229" s="166">
        <v>6.0475269999999997</v>
      </c>
      <c r="D229" s="166">
        <v>0</v>
      </c>
      <c r="E229" s="166">
        <v>0.23253599999999999</v>
      </c>
      <c r="F229" s="166">
        <v>0</v>
      </c>
      <c r="G229" s="166">
        <v>2.271512</v>
      </c>
      <c r="H229" s="166">
        <v>10.340389999999999</v>
      </c>
      <c r="I229" s="166">
        <v>2.4729999999999999E-3</v>
      </c>
      <c r="J229" s="166">
        <v>0.51619199999999998</v>
      </c>
      <c r="K229" s="166">
        <v>0.45812599999999998</v>
      </c>
      <c r="L229" s="166">
        <v>1.636746</v>
      </c>
      <c r="M229" s="166">
        <v>6.1874999999999999E-2</v>
      </c>
      <c r="N229" s="166">
        <v>0.10313</v>
      </c>
      <c r="O229" s="316">
        <v>23.890966903999999</v>
      </c>
      <c r="P229" s="166">
        <v>0.32663197599999999</v>
      </c>
      <c r="Q229" s="166">
        <v>-0.172707</v>
      </c>
      <c r="R229" s="166">
        <v>4.3399999999999998E-4</v>
      </c>
      <c r="S229" s="166">
        <v>-5.13E-4</v>
      </c>
      <c r="T229" s="166">
        <v>-0.180058</v>
      </c>
      <c r="U229" s="166">
        <v>0.42010399999999998</v>
      </c>
      <c r="V229" s="316">
        <v>24.284858880000002</v>
      </c>
      <c r="X229" s="186">
        <f t="shared" si="33"/>
        <v>43.281588566717808</v>
      </c>
    </row>
    <row r="230" spans="1:24" ht="14.25">
      <c r="A230" s="293">
        <v>7</v>
      </c>
      <c r="B230" s="166">
        <v>2.4452290080000001</v>
      </c>
      <c r="C230" s="166">
        <v>6.050338</v>
      </c>
      <c r="D230" s="166">
        <v>0</v>
      </c>
      <c r="E230" s="166">
        <v>0.23244799999999999</v>
      </c>
      <c r="F230" s="166">
        <v>0</v>
      </c>
      <c r="G230" s="166">
        <v>2.272519</v>
      </c>
      <c r="H230" s="166">
        <v>10.600349</v>
      </c>
      <c r="I230" s="166">
        <v>4.5124999999999998E-2</v>
      </c>
      <c r="J230" s="166">
        <v>0.35253800000000002</v>
      </c>
      <c r="K230" s="166">
        <v>0.46719500000000003</v>
      </c>
      <c r="L230" s="166">
        <v>1.6494819999999999</v>
      </c>
      <c r="M230" s="166">
        <v>6.1212000000000003E-2</v>
      </c>
      <c r="N230" s="166">
        <v>0.102205</v>
      </c>
      <c r="O230" s="316">
        <v>24.278640008</v>
      </c>
      <c r="P230" s="166">
        <v>1.143746232</v>
      </c>
      <c r="Q230" s="166">
        <v>-1.7419E-2</v>
      </c>
      <c r="R230" s="166">
        <v>0</v>
      </c>
      <c r="S230" s="166">
        <v>-1.47E-4</v>
      </c>
      <c r="T230" s="166">
        <v>-0.23466200000000001</v>
      </c>
      <c r="U230" s="166">
        <v>1.173041</v>
      </c>
      <c r="V230" s="316">
        <v>26.343199240000001</v>
      </c>
      <c r="X230" s="186">
        <f t="shared" si="33"/>
        <v>43.661214122813725</v>
      </c>
    </row>
    <row r="231" spans="1:24" ht="14.25">
      <c r="A231" s="293">
        <v>8</v>
      </c>
      <c r="B231" s="166">
        <v>2.6526719000000001</v>
      </c>
      <c r="C231" s="166">
        <v>6.0517539999999999</v>
      </c>
      <c r="D231" s="166">
        <v>9.9999999999999995E-7</v>
      </c>
      <c r="E231" s="166">
        <v>0.23244000000000001</v>
      </c>
      <c r="F231" s="166">
        <v>0</v>
      </c>
      <c r="G231" s="166">
        <v>2.4062960000000002</v>
      </c>
      <c r="H231" s="166">
        <v>10.156186</v>
      </c>
      <c r="I231" s="166">
        <v>2.6760980000000001</v>
      </c>
      <c r="J231" s="166">
        <v>0.16434799999999999</v>
      </c>
      <c r="K231" s="166">
        <v>0.46021200000000001</v>
      </c>
      <c r="L231" s="166">
        <v>1.6442490000000001</v>
      </c>
      <c r="M231" s="166">
        <v>6.1310000000000003E-2</v>
      </c>
      <c r="N231" s="166">
        <v>0.101893</v>
      </c>
      <c r="O231" s="316">
        <v>26.607458900000001</v>
      </c>
      <c r="P231" s="166">
        <v>1.1097108120000001</v>
      </c>
      <c r="Q231" s="166">
        <v>-0.14024700000000001</v>
      </c>
      <c r="R231" s="166">
        <v>3.2699999999999998E-4</v>
      </c>
      <c r="S231" s="166">
        <v>-3.6900000000000002E-4</v>
      </c>
      <c r="T231" s="166">
        <v>-0.26693299999999998</v>
      </c>
      <c r="U231" s="166">
        <v>1.271172</v>
      </c>
      <c r="V231" s="316">
        <v>28.581119712</v>
      </c>
      <c r="X231" s="186">
        <f t="shared" si="33"/>
        <v>38.170447009503789</v>
      </c>
    </row>
    <row r="232" spans="1:24" ht="14.25">
      <c r="A232" s="293">
        <v>9</v>
      </c>
      <c r="B232" s="166">
        <v>1.7945677719999999</v>
      </c>
      <c r="C232" s="166">
        <v>6.0507010000000001</v>
      </c>
      <c r="D232" s="166">
        <v>0</v>
      </c>
      <c r="E232" s="166">
        <v>0.23234399999999999</v>
      </c>
      <c r="F232" s="166">
        <v>0</v>
      </c>
      <c r="G232" s="166">
        <v>2.1590180000000001</v>
      </c>
      <c r="H232" s="166">
        <v>8.5403459999999995</v>
      </c>
      <c r="I232" s="166">
        <v>11.297727999999999</v>
      </c>
      <c r="J232" s="166">
        <v>0.17002100000000001</v>
      </c>
      <c r="K232" s="166">
        <v>0.44324400000000003</v>
      </c>
      <c r="L232" s="166">
        <v>1.3912679999999999</v>
      </c>
      <c r="M232" s="166">
        <v>6.16535E-2</v>
      </c>
      <c r="N232" s="166">
        <v>0.1015245</v>
      </c>
      <c r="O232" s="316">
        <v>32.242415772000001</v>
      </c>
      <c r="P232" s="166">
        <v>0.16278775600000001</v>
      </c>
      <c r="Q232" s="166">
        <v>-1.3562669999999999</v>
      </c>
      <c r="R232" s="166">
        <v>6.0000000000000002E-6</v>
      </c>
      <c r="S232" s="166">
        <v>-2.862E-3</v>
      </c>
      <c r="T232" s="166">
        <v>-0.29034700000000002</v>
      </c>
      <c r="U232" s="166">
        <v>-1.1234230000000001</v>
      </c>
      <c r="V232" s="316">
        <v>29.632310528000001</v>
      </c>
      <c r="X232" s="186">
        <f t="shared" si="33"/>
        <v>26.487922184219887</v>
      </c>
    </row>
    <row r="233" spans="1:24" ht="14.25">
      <c r="A233" s="293">
        <v>10</v>
      </c>
      <c r="B233" s="166">
        <v>1.425113632</v>
      </c>
      <c r="C233" s="166">
        <v>6.0446679999999997</v>
      </c>
      <c r="D233" s="166">
        <v>0</v>
      </c>
      <c r="E233" s="166">
        <v>0.232456</v>
      </c>
      <c r="F233" s="166">
        <v>0</v>
      </c>
      <c r="G233" s="166">
        <v>2.1160410000000001</v>
      </c>
      <c r="H233" s="166">
        <v>6.8963840000000003</v>
      </c>
      <c r="I233" s="166">
        <v>16.296810000000001</v>
      </c>
      <c r="J233" s="166">
        <v>0.91045299999999996</v>
      </c>
      <c r="K233" s="166">
        <v>0.43904599999999999</v>
      </c>
      <c r="L233" s="166">
        <v>1.2110240000000001</v>
      </c>
      <c r="M233" s="166">
        <v>6.0964999999999998E-2</v>
      </c>
      <c r="N233" s="166">
        <v>9.7139000000000003E-2</v>
      </c>
      <c r="O233" s="316">
        <v>35.730099631999998</v>
      </c>
      <c r="P233" s="166">
        <v>0.15524321199999999</v>
      </c>
      <c r="Q233" s="166">
        <v>-2.6899690000000001</v>
      </c>
      <c r="R233" s="166">
        <v>0</v>
      </c>
      <c r="S233" s="166">
        <v>-4.8479999999999999E-3</v>
      </c>
      <c r="T233" s="166">
        <v>-0.306029</v>
      </c>
      <c r="U233" s="166">
        <v>-3.0494289999999999</v>
      </c>
      <c r="V233" s="316">
        <v>29.835067844000001</v>
      </c>
      <c r="X233" s="186">
        <f t="shared" si="33"/>
        <v>19.301328770501318</v>
      </c>
    </row>
    <row r="234" spans="1:24" ht="14.25">
      <c r="A234" s="293">
        <v>11</v>
      </c>
      <c r="B234" s="166">
        <v>1.3211588919999999</v>
      </c>
      <c r="C234" s="166">
        <v>6.0397119999999997</v>
      </c>
      <c r="D234" s="166">
        <v>0</v>
      </c>
      <c r="E234" s="166">
        <v>0.25353599999999998</v>
      </c>
      <c r="F234" s="166">
        <v>0</v>
      </c>
      <c r="G234" s="166">
        <v>2.1111270000000002</v>
      </c>
      <c r="H234" s="166">
        <v>5.1087369999999996</v>
      </c>
      <c r="I234" s="166">
        <v>17.735713000000001</v>
      </c>
      <c r="J234" s="166">
        <v>1.247449</v>
      </c>
      <c r="K234" s="166">
        <v>0.41460999999999998</v>
      </c>
      <c r="L234" s="166">
        <v>1.1676010000000001</v>
      </c>
      <c r="M234" s="166">
        <v>6.0701499999999999E-2</v>
      </c>
      <c r="N234" s="166">
        <v>9.6937499999999996E-2</v>
      </c>
      <c r="O234" s="316">
        <v>35.557282892000003</v>
      </c>
      <c r="P234" s="166">
        <v>0.156694004</v>
      </c>
      <c r="Q234" s="166">
        <v>-3.1916030000000002</v>
      </c>
      <c r="R234" s="166">
        <v>4.3000000000000002E-5</v>
      </c>
      <c r="S234" s="166">
        <v>-4.6090000000000002E-3</v>
      </c>
      <c r="T234" s="166">
        <v>-0.236563</v>
      </c>
      <c r="U234" s="166">
        <v>-2.8289979999999999</v>
      </c>
      <c r="V234" s="316">
        <v>29.452246895999998</v>
      </c>
      <c r="X234" s="186">
        <f t="shared" si="33"/>
        <v>14.367624814069831</v>
      </c>
    </row>
    <row r="235" spans="1:24" ht="14.25">
      <c r="A235" s="293">
        <v>12</v>
      </c>
      <c r="B235" s="166">
        <v>1.1956195999999999</v>
      </c>
      <c r="C235" s="166">
        <v>6.0345219999999999</v>
      </c>
      <c r="D235" s="166">
        <v>0</v>
      </c>
      <c r="E235" s="166">
        <v>0.313608</v>
      </c>
      <c r="F235" s="166">
        <v>0</v>
      </c>
      <c r="G235" s="166">
        <v>2.2047289999999999</v>
      </c>
      <c r="H235" s="166">
        <v>4.6500320000000004</v>
      </c>
      <c r="I235" s="166">
        <v>18.461898000000001</v>
      </c>
      <c r="J235" s="166">
        <v>1.2420629999999999</v>
      </c>
      <c r="K235" s="166">
        <v>0.43596000000000001</v>
      </c>
      <c r="L235" s="166">
        <v>1.1358839999999999</v>
      </c>
      <c r="M235" s="166">
        <v>5.9837000000000001E-2</v>
      </c>
      <c r="N235" s="166">
        <v>9.6105999999999997E-2</v>
      </c>
      <c r="O235" s="316">
        <v>35.830258600000001</v>
      </c>
      <c r="P235" s="166">
        <v>0.15260438000000001</v>
      </c>
      <c r="Q235" s="166">
        <v>-3.3640569999999999</v>
      </c>
      <c r="R235" s="166">
        <v>0</v>
      </c>
      <c r="S235" s="166">
        <v>-1.951E-3</v>
      </c>
      <c r="T235" s="166">
        <v>-0.18273600000000001</v>
      </c>
      <c r="U235" s="166">
        <v>-3.1829999999999998</v>
      </c>
      <c r="V235" s="316">
        <v>29.251118980000001</v>
      </c>
      <c r="X235" s="186">
        <f t="shared" si="33"/>
        <v>12.977947080739183</v>
      </c>
    </row>
    <row r="236" spans="1:24" ht="14.25">
      <c r="A236" s="293">
        <v>13</v>
      </c>
      <c r="B236" s="166">
        <v>1.1709219239999999</v>
      </c>
      <c r="C236" s="166">
        <v>6.0317800000000004</v>
      </c>
      <c r="D236" s="166">
        <v>0</v>
      </c>
      <c r="E236" s="166">
        <v>0.35266399999999998</v>
      </c>
      <c r="F236" s="166">
        <v>0</v>
      </c>
      <c r="G236" s="166">
        <v>2.272281</v>
      </c>
      <c r="H236" s="166">
        <v>4.5167529999999996</v>
      </c>
      <c r="I236" s="166">
        <v>19.314304</v>
      </c>
      <c r="J236" s="166">
        <v>1.1922010000000001</v>
      </c>
      <c r="K236" s="166">
        <v>0.44150299999999998</v>
      </c>
      <c r="L236" s="166">
        <v>1.117202</v>
      </c>
      <c r="M236" s="166">
        <v>5.9581500000000003E-2</v>
      </c>
      <c r="N236" s="166">
        <v>9.5539499999999999E-2</v>
      </c>
      <c r="O236" s="316">
        <v>36.564730924000003</v>
      </c>
      <c r="P236" s="166">
        <v>0.17331924400000001</v>
      </c>
      <c r="Q236" s="166">
        <v>-3.3017449999999999</v>
      </c>
      <c r="R236" s="166">
        <v>7.6000000000000004E-5</v>
      </c>
      <c r="S236" s="166">
        <v>-5.1960000000000001E-3</v>
      </c>
      <c r="T236" s="166">
        <v>-0.138067</v>
      </c>
      <c r="U236" s="166">
        <v>-3.9451399999999999</v>
      </c>
      <c r="V236" s="316">
        <v>29.347978168000001</v>
      </c>
      <c r="X236" s="186">
        <f t="shared" si="33"/>
        <v>12.352758753751248</v>
      </c>
    </row>
    <row r="237" spans="1:24" ht="14.25">
      <c r="A237" s="293">
        <v>14</v>
      </c>
      <c r="B237" s="166">
        <v>1.196807</v>
      </c>
      <c r="C237" s="166">
        <v>6.039072</v>
      </c>
      <c r="D237" s="166">
        <v>9.9999999999999995E-7</v>
      </c>
      <c r="E237" s="166">
        <v>0.35287200000000002</v>
      </c>
      <c r="F237" s="166">
        <v>0</v>
      </c>
      <c r="G237" s="166">
        <v>2.2835480000000001</v>
      </c>
      <c r="H237" s="166">
        <v>4.2014389999999997</v>
      </c>
      <c r="I237" s="166">
        <v>19.15681</v>
      </c>
      <c r="J237" s="166">
        <v>1.208852</v>
      </c>
      <c r="K237" s="166">
        <v>0.44063400000000003</v>
      </c>
      <c r="L237" s="166">
        <v>1.1189830000000001</v>
      </c>
      <c r="M237" s="166">
        <v>6.0872000000000002E-2</v>
      </c>
      <c r="N237" s="166">
        <v>9.8905999999999994E-2</v>
      </c>
      <c r="O237" s="316">
        <v>36.158796000000002</v>
      </c>
      <c r="P237" s="166">
        <v>0.17139083599999999</v>
      </c>
      <c r="Q237" s="166">
        <v>-3.547593</v>
      </c>
      <c r="R237" s="166">
        <v>2.8499999999999999E-4</v>
      </c>
      <c r="S237" s="166">
        <v>-6.685E-3</v>
      </c>
      <c r="T237" s="166">
        <v>-0.133358</v>
      </c>
      <c r="U237" s="166">
        <v>-3.1327069999999999</v>
      </c>
      <c r="V237" s="316">
        <v>29.510128836</v>
      </c>
      <c r="X237" s="186">
        <f t="shared" si="33"/>
        <v>11.61941066843044</v>
      </c>
    </row>
    <row r="238" spans="1:24" ht="14.25">
      <c r="A238" s="293">
        <v>15</v>
      </c>
      <c r="B238" s="166">
        <v>1.1324522400000001</v>
      </c>
      <c r="C238" s="166">
        <v>6.0374749999999997</v>
      </c>
      <c r="D238" s="166">
        <v>0</v>
      </c>
      <c r="E238" s="166">
        <v>0.35289599999999999</v>
      </c>
      <c r="F238" s="166">
        <v>0</v>
      </c>
      <c r="G238" s="166">
        <v>2.282152</v>
      </c>
      <c r="H238" s="166">
        <v>4.1167540000000002</v>
      </c>
      <c r="I238" s="166">
        <v>19.655080000000002</v>
      </c>
      <c r="J238" s="166">
        <v>1.2745880000000001</v>
      </c>
      <c r="K238" s="166">
        <v>0.438247</v>
      </c>
      <c r="L238" s="166">
        <v>1.112242</v>
      </c>
      <c r="M238" s="166">
        <v>5.9458999999999998E-2</v>
      </c>
      <c r="N238" s="166">
        <v>9.6115000000000006E-2</v>
      </c>
      <c r="O238" s="316">
        <v>36.557460239999997</v>
      </c>
      <c r="P238" s="166">
        <v>0.17131906</v>
      </c>
      <c r="Q238" s="166">
        <v>-3.5858050000000001</v>
      </c>
      <c r="R238" s="166">
        <v>4.1E-5</v>
      </c>
      <c r="S238" s="166">
        <v>-8.9210000000000001E-3</v>
      </c>
      <c r="T238" s="166">
        <v>-0.15240999999999999</v>
      </c>
      <c r="U238" s="166">
        <v>-3.6591130000000001</v>
      </c>
      <c r="V238" s="316">
        <v>29.3225713</v>
      </c>
      <c r="X238" s="186">
        <f t="shared" si="33"/>
        <v>11.261050338216823</v>
      </c>
    </row>
    <row r="239" spans="1:24" ht="14.25">
      <c r="A239" s="293">
        <v>16</v>
      </c>
      <c r="B239" s="166">
        <v>1.1160626199999999</v>
      </c>
      <c r="C239" s="166">
        <v>6.0340930000000004</v>
      </c>
      <c r="D239" s="166">
        <v>0</v>
      </c>
      <c r="E239" s="166">
        <v>0.35188000000000003</v>
      </c>
      <c r="F239" s="166">
        <v>0</v>
      </c>
      <c r="G239" s="166">
        <v>2.3487330000000002</v>
      </c>
      <c r="H239" s="166">
        <v>4.3806630000000002</v>
      </c>
      <c r="I239" s="166">
        <v>19.675595000000001</v>
      </c>
      <c r="J239" s="166">
        <v>1.3664149999999999</v>
      </c>
      <c r="K239" s="166">
        <v>0.43795200000000001</v>
      </c>
      <c r="L239" s="166">
        <v>1.1063510000000001</v>
      </c>
      <c r="M239" s="166">
        <v>5.79E-2</v>
      </c>
      <c r="N239" s="166">
        <v>9.307E-2</v>
      </c>
      <c r="O239" s="316">
        <v>36.96871462</v>
      </c>
      <c r="P239" s="166">
        <v>0.17131894</v>
      </c>
      <c r="Q239" s="166">
        <v>-3.5129299999999999</v>
      </c>
      <c r="R239" s="166">
        <v>0</v>
      </c>
      <c r="S239" s="166">
        <v>-1.0011000000000001E-2</v>
      </c>
      <c r="T239" s="166">
        <v>-0.15331600000000001</v>
      </c>
      <c r="U239" s="166">
        <v>-4.5015150000000004</v>
      </c>
      <c r="V239" s="316">
        <v>28.962261560000002</v>
      </c>
      <c r="X239" s="186">
        <f t="shared" si="33"/>
        <v>11.849649210227261</v>
      </c>
    </row>
    <row r="240" spans="1:24" ht="14.25">
      <c r="A240" s="293">
        <v>17</v>
      </c>
      <c r="B240" s="166">
        <v>1.0954438200000001</v>
      </c>
      <c r="C240" s="166">
        <v>6.0290889999999999</v>
      </c>
      <c r="D240" s="166">
        <v>0</v>
      </c>
      <c r="E240" s="166">
        <v>0.31235200000000002</v>
      </c>
      <c r="F240" s="166">
        <v>0</v>
      </c>
      <c r="G240" s="166">
        <v>2.3052800000000002</v>
      </c>
      <c r="H240" s="166">
        <v>4.5801470000000002</v>
      </c>
      <c r="I240" s="166">
        <v>18.384001999999999</v>
      </c>
      <c r="J240" s="166">
        <v>1.454812</v>
      </c>
      <c r="K240" s="166">
        <v>0.44051200000000001</v>
      </c>
      <c r="L240" s="166">
        <v>1.104311</v>
      </c>
      <c r="M240" s="166">
        <v>5.7496999999999999E-2</v>
      </c>
      <c r="N240" s="166">
        <v>9.1732999999999995E-2</v>
      </c>
      <c r="O240" s="316">
        <v>35.855178819999999</v>
      </c>
      <c r="P240" s="166">
        <v>0.164593988</v>
      </c>
      <c r="Q240" s="166">
        <v>-3.0434009999999998</v>
      </c>
      <c r="R240" s="166">
        <v>0</v>
      </c>
      <c r="S240" s="166">
        <v>-4.3280000000000002E-3</v>
      </c>
      <c r="T240" s="166">
        <v>-0.178979</v>
      </c>
      <c r="U240" s="166">
        <v>-3.8262619999999998</v>
      </c>
      <c r="V240" s="316">
        <v>28.966802808000001</v>
      </c>
      <c r="X240" s="186">
        <f t="shared" si="33"/>
        <v>12.774018010043214</v>
      </c>
    </row>
    <row r="241" spans="1:24" ht="14.25">
      <c r="A241" s="293">
        <v>18</v>
      </c>
      <c r="B241" s="166">
        <v>1.1296100680000001</v>
      </c>
      <c r="C241" s="166">
        <v>6.0277419999999999</v>
      </c>
      <c r="D241" s="166">
        <v>0</v>
      </c>
      <c r="E241" s="166">
        <v>0.25281599999999999</v>
      </c>
      <c r="F241" s="166">
        <v>0</v>
      </c>
      <c r="G241" s="166">
        <v>2.259887</v>
      </c>
      <c r="H241" s="166">
        <v>4.9989100000000004</v>
      </c>
      <c r="I241" s="166">
        <v>17.047042000000001</v>
      </c>
      <c r="J241" s="166">
        <v>1.499717</v>
      </c>
      <c r="K241" s="166">
        <v>0.43762400000000001</v>
      </c>
      <c r="L241" s="166">
        <v>1.1126</v>
      </c>
      <c r="M241" s="166">
        <v>5.7914500000000001E-2</v>
      </c>
      <c r="N241" s="166">
        <v>9.24315E-2</v>
      </c>
      <c r="O241" s="316">
        <v>34.916294067999999</v>
      </c>
      <c r="P241" s="166">
        <v>0.120094204</v>
      </c>
      <c r="Q241" s="166">
        <v>-2.9122189999999999</v>
      </c>
      <c r="R241" s="166">
        <v>0</v>
      </c>
      <c r="S241" s="166">
        <v>-1.73E-4</v>
      </c>
      <c r="T241" s="166">
        <v>-0.23418700000000001</v>
      </c>
      <c r="U241" s="166">
        <v>-2.3873440000000001</v>
      </c>
      <c r="V241" s="316">
        <v>29.502465271999998</v>
      </c>
      <c r="X241" s="186">
        <f t="shared" si="33"/>
        <v>14.316840127032238</v>
      </c>
    </row>
    <row r="242" spans="1:24" ht="14.25">
      <c r="A242" s="293">
        <v>19</v>
      </c>
      <c r="B242" s="166">
        <v>1.292656764</v>
      </c>
      <c r="C242" s="166">
        <v>6.0276680000000002</v>
      </c>
      <c r="D242" s="166">
        <v>0</v>
      </c>
      <c r="E242" s="166">
        <v>0.23325599999999999</v>
      </c>
      <c r="F242" s="166">
        <v>0</v>
      </c>
      <c r="G242" s="166">
        <v>2.5968629999999999</v>
      </c>
      <c r="H242" s="166">
        <v>6.7728830000000002</v>
      </c>
      <c r="I242" s="166">
        <v>17.736581000000001</v>
      </c>
      <c r="J242" s="166">
        <v>1.5630109999999999</v>
      </c>
      <c r="K242" s="166">
        <v>0.45445200000000002</v>
      </c>
      <c r="L242" s="166">
        <v>1.1410739999999999</v>
      </c>
      <c r="M242" s="166">
        <v>6.0103999999999998E-2</v>
      </c>
      <c r="N242" s="166">
        <v>9.3306E-2</v>
      </c>
      <c r="O242" s="316">
        <v>37.971854764</v>
      </c>
      <c r="P242" s="166">
        <v>0.115884036</v>
      </c>
      <c r="Q242" s="166">
        <v>-2.2131940000000001</v>
      </c>
      <c r="R242" s="166">
        <v>0</v>
      </c>
      <c r="S242" s="166">
        <v>-5.7899999999999998E-4</v>
      </c>
      <c r="T242" s="166">
        <v>-0.29207499999999997</v>
      </c>
      <c r="U242" s="166">
        <v>-5.2796690000000002</v>
      </c>
      <c r="V242" s="316">
        <v>30.302221800000002</v>
      </c>
      <c r="X242" s="186">
        <f t="shared" si="33"/>
        <v>17.836587235715363</v>
      </c>
    </row>
    <row r="243" spans="1:24" ht="14.25">
      <c r="A243" s="293">
        <v>20</v>
      </c>
      <c r="B243" s="166">
        <v>1.6001233399999999</v>
      </c>
      <c r="C243" s="166">
        <v>6.0265310000000003</v>
      </c>
      <c r="D243" s="166">
        <v>0</v>
      </c>
      <c r="E243" s="166">
        <v>0.23214399999999999</v>
      </c>
      <c r="F243" s="166">
        <v>0</v>
      </c>
      <c r="G243" s="166">
        <v>3.4046150000000002</v>
      </c>
      <c r="H243" s="166">
        <v>8.5248939999999997</v>
      </c>
      <c r="I243" s="166">
        <v>14.879199</v>
      </c>
      <c r="J243" s="166">
        <v>1.522829</v>
      </c>
      <c r="K243" s="166">
        <v>0.46848699999999999</v>
      </c>
      <c r="L243" s="166">
        <v>1.2583709999999999</v>
      </c>
      <c r="M243" s="166">
        <v>6.0524000000000001E-2</v>
      </c>
      <c r="N243" s="166">
        <v>9.6660999999999997E-2</v>
      </c>
      <c r="O243" s="316">
        <v>38.074378340000003</v>
      </c>
      <c r="P243" s="166">
        <v>8.9738812000000001E-2</v>
      </c>
      <c r="Q243" s="166">
        <v>-1.180515</v>
      </c>
      <c r="R243" s="166">
        <v>2.43E-4</v>
      </c>
      <c r="S243" s="166">
        <v>-1.1039999999999999E-3</v>
      </c>
      <c r="T243" s="166">
        <v>-0.30749799999999999</v>
      </c>
      <c r="U243" s="166">
        <v>-5.304875</v>
      </c>
      <c r="V243" s="316">
        <v>31.370368152000001</v>
      </c>
      <c r="X243" s="186">
        <f t="shared" si="33"/>
        <v>22.390106868912305</v>
      </c>
    </row>
    <row r="244" spans="1:24" ht="14.25">
      <c r="A244" s="293">
        <v>21</v>
      </c>
      <c r="B244" s="166">
        <v>3.596656232</v>
      </c>
      <c r="C244" s="166">
        <v>6.0262159999999998</v>
      </c>
      <c r="D244" s="166">
        <v>9.9999999999999995E-7</v>
      </c>
      <c r="E244" s="166">
        <v>0.23214399999999999</v>
      </c>
      <c r="F244" s="166">
        <v>0</v>
      </c>
      <c r="G244" s="166">
        <v>3.3163010000000002</v>
      </c>
      <c r="H244" s="166">
        <v>9.8315680000000008</v>
      </c>
      <c r="I244" s="166">
        <v>7.0209650000000003</v>
      </c>
      <c r="J244" s="166">
        <v>1.2519340000000001</v>
      </c>
      <c r="K244" s="166">
        <v>0.48483300000000001</v>
      </c>
      <c r="L244" s="166">
        <v>1.5654980000000001</v>
      </c>
      <c r="M244" s="166">
        <v>6.0632999999999999E-2</v>
      </c>
      <c r="N244" s="166">
        <v>9.9495E-2</v>
      </c>
      <c r="O244" s="316">
        <v>33.486244231999997</v>
      </c>
      <c r="P244" s="166">
        <v>1.3566292959999999</v>
      </c>
      <c r="Q244" s="166">
        <v>-0.13356000000000001</v>
      </c>
      <c r="R244" s="166">
        <v>1.2577E-2</v>
      </c>
      <c r="S244" s="166">
        <v>-8.2000000000000001E-5</v>
      </c>
      <c r="T244" s="166">
        <v>-0.30749700000000002</v>
      </c>
      <c r="U244" s="166">
        <v>-1.998785</v>
      </c>
      <c r="V244" s="316">
        <v>32.415526528000001</v>
      </c>
      <c r="X244" s="186">
        <f t="shared" si="33"/>
        <v>29.360019988759429</v>
      </c>
    </row>
    <row r="245" spans="1:24" ht="14.25">
      <c r="A245" s="293">
        <v>22</v>
      </c>
      <c r="B245" s="166">
        <v>5.5607000400000004</v>
      </c>
      <c r="C245" s="166">
        <v>6.028518</v>
      </c>
      <c r="D245" s="166">
        <v>0</v>
      </c>
      <c r="E245" s="166">
        <v>0.23216800000000001</v>
      </c>
      <c r="F245" s="166">
        <v>0</v>
      </c>
      <c r="G245" s="166">
        <v>4.0319989999999999</v>
      </c>
      <c r="H245" s="166">
        <v>10.61773</v>
      </c>
      <c r="I245" s="166">
        <v>0.74922800000000001</v>
      </c>
      <c r="J245" s="166">
        <v>0.76316399999999995</v>
      </c>
      <c r="K245" s="166">
        <v>0.50888100000000003</v>
      </c>
      <c r="L245" s="166">
        <v>1.670663</v>
      </c>
      <c r="M245" s="166">
        <v>6.1430999999999999E-2</v>
      </c>
      <c r="N245" s="166">
        <v>0.102899</v>
      </c>
      <c r="O245" s="316">
        <v>30.327381039999999</v>
      </c>
      <c r="P245" s="166">
        <v>2.236863</v>
      </c>
      <c r="Q245" s="166">
        <v>-5.4920000000000004E-3</v>
      </c>
      <c r="R245" s="166">
        <v>1.5254E-2</v>
      </c>
      <c r="S245" s="166">
        <v>-3.0000000000000001E-5</v>
      </c>
      <c r="T245" s="166">
        <v>-0.30693599999999999</v>
      </c>
      <c r="U245" s="166">
        <v>0.56361399999999995</v>
      </c>
      <c r="V245" s="316">
        <v>32.830654039999999</v>
      </c>
      <c r="X245" s="186">
        <f t="shared" si="33"/>
        <v>35.010375561265413</v>
      </c>
    </row>
    <row r="246" spans="1:24" ht="14.25">
      <c r="A246" s="293">
        <v>23</v>
      </c>
      <c r="B246" s="166">
        <v>5.3700845040000003</v>
      </c>
      <c r="C246" s="166">
        <v>6.0314269999999999</v>
      </c>
      <c r="D246" s="166">
        <v>0</v>
      </c>
      <c r="E246" s="166">
        <v>0.23211200000000001</v>
      </c>
      <c r="F246" s="166">
        <v>0</v>
      </c>
      <c r="G246" s="166">
        <v>3.6969820000000002</v>
      </c>
      <c r="H246" s="166">
        <v>11.187338</v>
      </c>
      <c r="I246" s="166">
        <v>6.0049999999999999E-2</v>
      </c>
      <c r="J246" s="166">
        <v>0.57333599999999996</v>
      </c>
      <c r="K246" s="166">
        <v>0.51691900000000002</v>
      </c>
      <c r="L246" s="166">
        <v>1.6808430000000001</v>
      </c>
      <c r="M246" s="166">
        <v>6.0772E-2</v>
      </c>
      <c r="N246" s="166">
        <v>0.101794</v>
      </c>
      <c r="O246" s="316">
        <v>29.511657503999999</v>
      </c>
      <c r="P246" s="166">
        <v>1.92686</v>
      </c>
      <c r="Q246" s="166">
        <v>-5.4060000000000002E-3</v>
      </c>
      <c r="R246" s="166">
        <v>1.0468E-2</v>
      </c>
      <c r="S246" s="166">
        <v>-8.7999999999999998E-5</v>
      </c>
      <c r="T246" s="166">
        <v>-0.287107</v>
      </c>
      <c r="U246" s="166">
        <v>0.50799000000000005</v>
      </c>
      <c r="V246" s="316">
        <v>31.664374504000001</v>
      </c>
      <c r="X246" s="186">
        <f t="shared" si="33"/>
        <v>37.908199491958975</v>
      </c>
    </row>
    <row r="247" spans="1:24" ht="14.25">
      <c r="A247" s="293">
        <v>24</v>
      </c>
      <c r="B247" s="166">
        <v>3.7042463560000001</v>
      </c>
      <c r="C247" s="166">
        <v>6.0352839999999999</v>
      </c>
      <c r="D247" s="166">
        <v>0</v>
      </c>
      <c r="E247" s="166">
        <v>0.23219999999999999</v>
      </c>
      <c r="F247" s="166">
        <v>0</v>
      </c>
      <c r="G247" s="166">
        <v>2.684758</v>
      </c>
      <c r="H247" s="166">
        <v>12.135585000000001</v>
      </c>
      <c r="I247" s="166">
        <v>2.7729E-2</v>
      </c>
      <c r="J247" s="166">
        <v>0.56629300000000005</v>
      </c>
      <c r="K247" s="166">
        <v>0.51931099999999997</v>
      </c>
      <c r="L247" s="166">
        <v>1.6764049999999999</v>
      </c>
      <c r="M247" s="166">
        <v>6.1254500000000003E-2</v>
      </c>
      <c r="N247" s="166">
        <v>0.1029395</v>
      </c>
      <c r="O247" s="316">
        <v>27.746005356000001</v>
      </c>
      <c r="P247" s="166">
        <v>2.009039172</v>
      </c>
      <c r="Q247" s="166">
        <v>-5.4640000000000001E-3</v>
      </c>
      <c r="R247" s="166">
        <v>4.3499999999999997E-3</v>
      </c>
      <c r="S247" s="166">
        <v>-1.5920000000000001E-3</v>
      </c>
      <c r="T247" s="166">
        <v>-0.266847</v>
      </c>
      <c r="U247" s="166">
        <v>-0.25301299999999999</v>
      </c>
      <c r="V247" s="316">
        <v>29.232478528000001</v>
      </c>
      <c r="X247" s="186">
        <f t="shared" si="33"/>
        <v>43.738133991874662</v>
      </c>
    </row>
    <row r="248" spans="1:24" ht="14.25">
      <c r="W248" t="str">
        <f t="shared" ref="W248:W250" si="34">IFERROR(G248/N248*100,"")</f>
        <v/>
      </c>
      <c r="X248" s="186" t="str">
        <f t="shared" si="33"/>
        <v/>
      </c>
    </row>
    <row r="249" spans="1:24" ht="14.25">
      <c r="W249" t="str">
        <f t="shared" si="34"/>
        <v/>
      </c>
      <c r="X249" s="186" t="str">
        <f t="shared" si="33"/>
        <v/>
      </c>
    </row>
    <row r="250" spans="1:24" ht="14.25">
      <c r="W250" t="str">
        <f t="shared" si="34"/>
        <v/>
      </c>
      <c r="X250" s="186" t="str">
        <f t="shared" si="33"/>
        <v/>
      </c>
    </row>
    <row r="252" spans="1:24">
      <c r="A252" s="216"/>
      <c r="B252" s="216" t="s">
        <v>28</v>
      </c>
      <c r="C252" s="217" t="s">
        <v>217</v>
      </c>
      <c r="D252" s="217" t="s">
        <v>218</v>
      </c>
      <c r="E252" s="217" t="s">
        <v>231</v>
      </c>
      <c r="F252" s="217" t="s">
        <v>233</v>
      </c>
      <c r="G252" s="217" t="s">
        <v>235</v>
      </c>
      <c r="H252" s="217" t="s">
        <v>236</v>
      </c>
      <c r="I252" s="217" t="s">
        <v>269</v>
      </c>
      <c r="J252" s="217" t="s">
        <v>273</v>
      </c>
      <c r="K252" s="217" t="s">
        <v>277</v>
      </c>
      <c r="L252" s="217" t="s">
        <v>279</v>
      </c>
      <c r="M252" s="217" t="s">
        <v>281</v>
      </c>
      <c r="N252" s="217" t="s">
        <v>283</v>
      </c>
      <c r="O252" s="217" t="s">
        <v>287</v>
      </c>
    </row>
    <row r="253" spans="1:24">
      <c r="A253" s="216"/>
      <c r="B253" s="216" t="s">
        <v>101</v>
      </c>
      <c r="C253" s="217" t="s">
        <v>159</v>
      </c>
      <c r="D253" s="217" t="s">
        <v>159</v>
      </c>
      <c r="E253" s="217" t="s">
        <v>159</v>
      </c>
      <c r="F253" s="217" t="s">
        <v>159</v>
      </c>
      <c r="G253" s="217" t="s">
        <v>159</v>
      </c>
      <c r="H253" s="217" t="s">
        <v>159</v>
      </c>
      <c r="I253" s="217" t="s">
        <v>159</v>
      </c>
      <c r="J253" s="217" t="s">
        <v>159</v>
      </c>
      <c r="K253" s="217" t="s">
        <v>159</v>
      </c>
      <c r="L253" s="217" t="s">
        <v>159</v>
      </c>
      <c r="M253" s="217" t="s">
        <v>159</v>
      </c>
      <c r="N253" s="217" t="s">
        <v>159</v>
      </c>
      <c r="O253" s="217" t="s">
        <v>159</v>
      </c>
    </row>
    <row r="254" spans="1:24">
      <c r="A254" s="216" t="s">
        <v>154</v>
      </c>
      <c r="B254" s="216" t="s">
        <v>155</v>
      </c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</row>
    <row r="255" spans="1:24">
      <c r="A255" s="343" t="s">
        <v>4</v>
      </c>
      <c r="B255" s="219" t="s">
        <v>145</v>
      </c>
      <c r="C255" s="317">
        <v>1617.5318400000001</v>
      </c>
      <c r="D255" s="317">
        <v>10500.46176</v>
      </c>
      <c r="E255" s="317"/>
      <c r="F255" s="317"/>
      <c r="G255" s="317"/>
      <c r="H255" s="317"/>
      <c r="I255" s="317"/>
      <c r="J255" s="317"/>
      <c r="K255" s="317"/>
      <c r="L255" s="317"/>
      <c r="M255" s="317"/>
      <c r="N255" s="317"/>
      <c r="O255" s="317"/>
    </row>
    <row r="256" spans="1:24">
      <c r="A256" s="344"/>
      <c r="B256" s="219" t="s">
        <v>146</v>
      </c>
      <c r="C256" s="317">
        <v>146358.57983999999</v>
      </c>
      <c r="D256" s="317">
        <v>91200.833280000006</v>
      </c>
      <c r="E256" s="317">
        <v>0.1056</v>
      </c>
      <c r="F256" s="317">
        <v>6949.3612800000001</v>
      </c>
      <c r="G256" s="317">
        <v>20139.99264</v>
      </c>
      <c r="H256" s="317">
        <v>5173.2297600000002</v>
      </c>
      <c r="I256" s="317">
        <v>44880.096960000003</v>
      </c>
      <c r="J256" s="317">
        <v>19381.016640000002</v>
      </c>
      <c r="K256" s="317">
        <v>9.9839999999999998E-2</v>
      </c>
      <c r="L256" s="317">
        <v>12773.805120000001</v>
      </c>
      <c r="M256" s="317">
        <v>0.10176</v>
      </c>
      <c r="N256" s="317">
        <v>78006.887040000001</v>
      </c>
      <c r="O256" s="317">
        <v>12551.687040000001</v>
      </c>
    </row>
    <row r="257" spans="1:17">
      <c r="A257" s="219" t="s">
        <v>135</v>
      </c>
      <c r="B257" s="219" t="s">
        <v>225</v>
      </c>
      <c r="C257" s="317"/>
      <c r="D257" s="317">
        <v>60825.505440000001</v>
      </c>
      <c r="E257" s="317">
        <v>91988.79032</v>
      </c>
      <c r="F257" s="317">
        <v>103633.34071999999</v>
      </c>
      <c r="G257" s="317">
        <v>117125.66656</v>
      </c>
      <c r="H257" s="317">
        <v>120115.81568</v>
      </c>
      <c r="I257" s="317">
        <v>135268.42112000001</v>
      </c>
      <c r="J257" s="317">
        <v>104514.64408</v>
      </c>
      <c r="K257" s="317">
        <v>117182.0384</v>
      </c>
      <c r="L257" s="317">
        <v>116826.45183999999</v>
      </c>
      <c r="M257" s="317">
        <v>115506.5184</v>
      </c>
      <c r="N257" s="317">
        <v>144004.86016000001</v>
      </c>
      <c r="O257" s="317">
        <v>117119.04512</v>
      </c>
    </row>
    <row r="258" spans="1:17">
      <c r="A258" s="219" t="s">
        <v>219</v>
      </c>
      <c r="B258" s="219" t="s">
        <v>234</v>
      </c>
      <c r="C258" s="317"/>
      <c r="D258" s="317"/>
      <c r="E258" s="317"/>
      <c r="F258" s="317">
        <v>7.6999999999999996E-4</v>
      </c>
      <c r="G258" s="317"/>
      <c r="H258" s="317"/>
      <c r="I258" s="317"/>
      <c r="J258" s="317"/>
      <c r="K258" s="317"/>
      <c r="L258" s="317"/>
      <c r="M258" s="317"/>
      <c r="N258" s="317"/>
      <c r="O258" s="317"/>
    </row>
    <row r="259" spans="1:17">
      <c r="A259" s="219" t="s">
        <v>11</v>
      </c>
      <c r="B259" s="219" t="s">
        <v>147</v>
      </c>
      <c r="C259" s="317">
        <v>1472981.12405</v>
      </c>
      <c r="D259" s="317">
        <v>1324084.3846499999</v>
      </c>
      <c r="E259" s="317">
        <v>1309188.13433</v>
      </c>
      <c r="F259" s="317">
        <v>1166084.58742</v>
      </c>
      <c r="G259" s="317">
        <v>1695150.15707</v>
      </c>
      <c r="H259" s="317">
        <v>1327736.7020099999</v>
      </c>
      <c r="I259" s="317">
        <v>1592012.0702500001</v>
      </c>
      <c r="J259" s="317">
        <v>1299365.3758100001</v>
      </c>
      <c r="K259" s="317">
        <v>833892.69073000003</v>
      </c>
      <c r="L259" s="317">
        <v>1030426.8187600001</v>
      </c>
      <c r="M259" s="317">
        <v>857783.77462000004</v>
      </c>
      <c r="N259" s="317">
        <v>947576.97782999999</v>
      </c>
      <c r="O259" s="317">
        <v>1196439.60757</v>
      </c>
    </row>
    <row r="260" spans="1:17">
      <c r="A260" s="349" t="s">
        <v>9</v>
      </c>
      <c r="B260" s="219" t="s">
        <v>148</v>
      </c>
      <c r="C260" s="317">
        <v>21849.196</v>
      </c>
      <c r="D260" s="317">
        <v>30464.387500000001</v>
      </c>
      <c r="E260" s="317">
        <v>18504.455999999998</v>
      </c>
      <c r="F260" s="317">
        <v>26344.361000000001</v>
      </c>
      <c r="G260" s="317">
        <v>29230.192500000001</v>
      </c>
      <c r="H260" s="317">
        <v>28474.8295</v>
      </c>
      <c r="I260" s="317">
        <v>29981.425500000001</v>
      </c>
      <c r="J260" s="317">
        <v>28240.7415</v>
      </c>
      <c r="K260" s="317">
        <v>20427.714499999998</v>
      </c>
      <c r="L260" s="317">
        <v>21912.4565</v>
      </c>
      <c r="M260" s="317">
        <v>27267.899000000001</v>
      </c>
      <c r="N260" s="317">
        <v>28937.951000000001</v>
      </c>
      <c r="O260" s="317">
        <v>29095.855500000001</v>
      </c>
    </row>
    <row r="261" spans="1:17">
      <c r="A261" s="350"/>
      <c r="B261" s="219" t="s">
        <v>149</v>
      </c>
      <c r="C261" s="317">
        <v>478029.81420000002</v>
      </c>
      <c r="D261" s="317">
        <v>448037.47727999999</v>
      </c>
      <c r="E261" s="317">
        <v>430836.1434</v>
      </c>
      <c r="F261" s="317">
        <v>437695.74828</v>
      </c>
      <c r="G261" s="317">
        <v>473007.03840000002</v>
      </c>
      <c r="H261" s="317">
        <v>421331.09544</v>
      </c>
      <c r="I261" s="317">
        <v>485631.76607999997</v>
      </c>
      <c r="J261" s="317">
        <v>431412.92316000001</v>
      </c>
      <c r="K261" s="317">
        <v>201606.01056</v>
      </c>
      <c r="L261" s="317">
        <v>208298.65752000001</v>
      </c>
      <c r="M261" s="317">
        <v>309793.99751999998</v>
      </c>
      <c r="N261" s="317">
        <v>381092.83955999999</v>
      </c>
      <c r="O261" s="317">
        <v>385992.26063999999</v>
      </c>
    </row>
    <row r="262" spans="1:17">
      <c r="A262" s="344"/>
      <c r="B262" s="219" t="s">
        <v>150</v>
      </c>
      <c r="C262" s="317">
        <v>781.17474000000004</v>
      </c>
      <c r="D262" s="317">
        <v>819.35447999999997</v>
      </c>
      <c r="E262" s="317">
        <v>387.38492000000002</v>
      </c>
      <c r="F262" s="317">
        <v>614.66672000000005</v>
      </c>
      <c r="G262" s="317">
        <v>957.48828000000003</v>
      </c>
      <c r="H262" s="317">
        <v>400.10998000000001</v>
      </c>
      <c r="I262" s="317">
        <v>343.57585999999998</v>
      </c>
      <c r="J262" s="317">
        <v>403.51211999999998</v>
      </c>
      <c r="K262" s="317">
        <v>659.15826000000004</v>
      </c>
      <c r="L262" s="317">
        <v>817.04711999999995</v>
      </c>
      <c r="M262" s="317">
        <v>618.28279999999995</v>
      </c>
      <c r="N262" s="317">
        <v>892.29395999999997</v>
      </c>
      <c r="O262" s="317">
        <v>526.41362000000004</v>
      </c>
    </row>
    <row r="263" spans="1:17">
      <c r="A263" s="349" t="s">
        <v>67</v>
      </c>
      <c r="B263" s="219" t="s">
        <v>151</v>
      </c>
      <c r="C263" s="317"/>
      <c r="D263" s="317">
        <v>2.2800000000000001E-2</v>
      </c>
      <c r="E263" s="317">
        <v>9.5E-4</v>
      </c>
      <c r="F263" s="317"/>
      <c r="G263" s="317">
        <v>9.5E-4</v>
      </c>
      <c r="H263" s="317"/>
      <c r="I263" s="317"/>
      <c r="J263" s="317"/>
      <c r="K263" s="317">
        <v>3.3250000000000002E-2</v>
      </c>
      <c r="L263" s="317">
        <v>9.5E-4</v>
      </c>
      <c r="M263" s="317"/>
      <c r="N263" s="317"/>
      <c r="O263" s="317">
        <v>9.5E-4</v>
      </c>
    </row>
    <row r="264" spans="1:17">
      <c r="A264" s="350"/>
      <c r="B264" s="219" t="s">
        <v>152</v>
      </c>
      <c r="C264" s="317">
        <v>5692.48128</v>
      </c>
      <c r="D264" s="317">
        <v>12488.84952</v>
      </c>
      <c r="E264" s="317">
        <v>14171.85348</v>
      </c>
      <c r="F264" s="317">
        <v>10850.79816</v>
      </c>
      <c r="G264" s="317">
        <v>11888.2644</v>
      </c>
      <c r="H264" s="317">
        <v>12273.8946</v>
      </c>
      <c r="I264" s="317">
        <v>14396.481599999999</v>
      </c>
      <c r="J264" s="317">
        <v>14191.599</v>
      </c>
      <c r="K264" s="317">
        <v>8850.6051599999992</v>
      </c>
      <c r="L264" s="317">
        <v>9365.1412799999998</v>
      </c>
      <c r="M264" s="317">
        <v>9940.4766</v>
      </c>
      <c r="N264" s="317">
        <v>8961.5640000000003</v>
      </c>
      <c r="O264" s="317">
        <v>12216.46164</v>
      </c>
    </row>
    <row r="265" spans="1:17">
      <c r="A265" s="344"/>
      <c r="B265" s="219" t="s">
        <v>153</v>
      </c>
      <c r="C265" s="317">
        <v>8391.2747999999992</v>
      </c>
      <c r="D265" s="317">
        <v>7539.2733600000001</v>
      </c>
      <c r="E265" s="317">
        <v>8188.4534400000002</v>
      </c>
      <c r="F265" s="317">
        <v>5850.1348799999996</v>
      </c>
      <c r="G265" s="317">
        <v>8560.7191199999997</v>
      </c>
      <c r="H265" s="317">
        <v>8334.9048000000003</v>
      </c>
      <c r="I265" s="317">
        <v>7978.9488000000001</v>
      </c>
      <c r="J265" s="317">
        <v>5439.6743999999999</v>
      </c>
      <c r="K265" s="317">
        <v>4030.95</v>
      </c>
      <c r="L265" s="317">
        <v>4672.2436799999996</v>
      </c>
      <c r="M265" s="317">
        <v>5835.2428799999998</v>
      </c>
      <c r="N265" s="317">
        <v>5806.46976</v>
      </c>
      <c r="O265" s="317">
        <v>5146.0526399999999</v>
      </c>
    </row>
    <row r="266" spans="1:17">
      <c r="A266" s="318" t="s">
        <v>15</v>
      </c>
      <c r="B266" s="319"/>
      <c r="C266" s="320">
        <v>2135701.1767500001</v>
      </c>
      <c r="D266" s="320">
        <v>1985960.5500700001</v>
      </c>
      <c r="E266" s="320">
        <v>1873265.32244</v>
      </c>
      <c r="F266" s="320">
        <v>1758022.99923</v>
      </c>
      <c r="G266" s="320">
        <v>2356059.5199199999</v>
      </c>
      <c r="H266" s="320">
        <v>1923840.58177</v>
      </c>
      <c r="I266" s="320">
        <v>2310492.7861700002</v>
      </c>
      <c r="J266" s="320">
        <v>1902949.4867100001</v>
      </c>
      <c r="K266" s="320">
        <v>1186649.3007</v>
      </c>
      <c r="L266" s="320">
        <v>1405092.62277</v>
      </c>
      <c r="M266" s="320">
        <v>1326746.2935800001</v>
      </c>
      <c r="N266" s="320">
        <v>1595279.8433099999</v>
      </c>
      <c r="O266" s="320">
        <v>1759087.38472</v>
      </c>
      <c r="Q266" s="245">
        <f>(O266-C266)/C266*100</f>
        <v>-17.634198835022023</v>
      </c>
    </row>
    <row r="271" spans="1:17">
      <c r="A271" s="163" t="s">
        <v>28</v>
      </c>
      <c r="B271" s="341" t="s">
        <v>287</v>
      </c>
      <c r="C271" s="342"/>
      <c r="D271" s="342"/>
      <c r="E271" s="342"/>
      <c r="F271" s="342"/>
      <c r="G271" s="342"/>
      <c r="H271" s="342"/>
      <c r="I271" s="342"/>
    </row>
    <row r="272" spans="1:17">
      <c r="A272" s="163" t="s">
        <v>101</v>
      </c>
      <c r="B272" s="164" t="s">
        <v>94</v>
      </c>
      <c r="C272" s="164" t="s">
        <v>142</v>
      </c>
      <c r="D272" s="164" t="s">
        <v>95</v>
      </c>
      <c r="E272" s="164" t="s">
        <v>96</v>
      </c>
      <c r="F272" s="164" t="s">
        <v>143</v>
      </c>
      <c r="G272" s="164" t="s">
        <v>97</v>
      </c>
      <c r="H272" s="164" t="s">
        <v>98</v>
      </c>
      <c r="I272" s="164" t="s">
        <v>99</v>
      </c>
    </row>
    <row r="273" spans="1:9">
      <c r="A273" s="163" t="s">
        <v>102</v>
      </c>
      <c r="B273" s="165"/>
      <c r="C273" s="165"/>
      <c r="D273" s="165"/>
      <c r="E273" s="165"/>
      <c r="F273" s="165"/>
      <c r="G273" s="165"/>
      <c r="H273" s="165"/>
      <c r="I273" s="165"/>
    </row>
    <row r="274" spans="1:9">
      <c r="A274" s="292" t="s">
        <v>2</v>
      </c>
      <c r="B274" s="303">
        <v>2108190.4699940002</v>
      </c>
      <c r="C274" s="303">
        <v>2409309.8923360002</v>
      </c>
      <c r="D274" s="304">
        <v>-0.1249816071</v>
      </c>
      <c r="E274" s="303">
        <v>19168571.215564001</v>
      </c>
      <c r="F274" s="303">
        <v>21355637.099126998</v>
      </c>
      <c r="G274" s="304">
        <v>-0.102411643</v>
      </c>
      <c r="H274" s="303">
        <v>31512518.928589001</v>
      </c>
      <c r="I274" s="304">
        <v>-0.1018296242</v>
      </c>
    </row>
    <row r="275" spans="1:9">
      <c r="A275" s="292" t="s">
        <v>3</v>
      </c>
      <c r="B275" s="303">
        <v>4457563.5389999999</v>
      </c>
      <c r="C275" s="303">
        <v>4096380.2540000002</v>
      </c>
      <c r="D275" s="304">
        <v>8.8171327499999994E-2</v>
      </c>
      <c r="E275" s="303">
        <v>25309215.816</v>
      </c>
      <c r="F275" s="303">
        <v>24952188.094999999</v>
      </c>
      <c r="G275" s="304">
        <v>1.43084735E-2</v>
      </c>
      <c r="H275" s="303">
        <v>52203930.840000004</v>
      </c>
      <c r="I275" s="304">
        <v>-9.2503215999999999E-3</v>
      </c>
    </row>
    <row r="276" spans="1:9">
      <c r="A276" s="292" t="s">
        <v>4</v>
      </c>
      <c r="B276" s="303">
        <v>13074.674000000001</v>
      </c>
      <c r="C276" s="303">
        <v>154141.783</v>
      </c>
      <c r="D276" s="304">
        <v>-0.91517761279999998</v>
      </c>
      <c r="E276" s="303">
        <v>127826.664</v>
      </c>
      <c r="F276" s="303">
        <v>1329279.632</v>
      </c>
      <c r="G276" s="304">
        <v>-0.90383764190000004</v>
      </c>
      <c r="H276" s="303">
        <v>314122.58199999999</v>
      </c>
      <c r="I276" s="304">
        <v>-0.89461882989999997</v>
      </c>
    </row>
    <row r="277" spans="1:9">
      <c r="A277" s="292" t="s">
        <v>135</v>
      </c>
      <c r="B277" s="303">
        <v>209141.152</v>
      </c>
      <c r="C277" s="303">
        <v>0</v>
      </c>
      <c r="D277" s="304">
        <v>0</v>
      </c>
      <c r="E277" s="303">
        <v>1277059.925</v>
      </c>
      <c r="F277" s="303">
        <v>0</v>
      </c>
      <c r="G277" s="304">
        <v>0</v>
      </c>
      <c r="H277" s="303">
        <v>2400198.389</v>
      </c>
      <c r="I277" s="304">
        <v>0</v>
      </c>
    </row>
    <row r="278" spans="1:9">
      <c r="A278" s="292" t="s">
        <v>219</v>
      </c>
      <c r="B278" s="303">
        <v>362677.44900000002</v>
      </c>
      <c r="C278" s="303">
        <v>350976.23300000001</v>
      </c>
      <c r="D278" s="304">
        <v>3.3339055200000002E-2</v>
      </c>
      <c r="E278" s="303">
        <v>2115434.594</v>
      </c>
      <c r="F278" s="303">
        <v>2076527.0060000001</v>
      </c>
      <c r="G278" s="304">
        <v>1.8736856199999999E-2</v>
      </c>
      <c r="H278" s="303">
        <v>4511049.4040000001</v>
      </c>
      <c r="I278" s="304">
        <v>3.9032491500000002E-2</v>
      </c>
    </row>
    <row r="279" spans="1:9">
      <c r="A279" s="292" t="s">
        <v>11</v>
      </c>
      <c r="B279" s="303">
        <v>3797796.1379999998</v>
      </c>
      <c r="C279" s="303">
        <v>4539672.8320000004</v>
      </c>
      <c r="D279" s="304">
        <v>-0.16342074009999999</v>
      </c>
      <c r="E279" s="303">
        <v>19926076.916999999</v>
      </c>
      <c r="F279" s="303">
        <v>19298343.366999999</v>
      </c>
      <c r="G279" s="304">
        <v>3.2527846499999999E-2</v>
      </c>
      <c r="H279" s="303">
        <v>46361258.956</v>
      </c>
      <c r="I279" s="304">
        <v>0.12768503419999999</v>
      </c>
    </row>
    <row r="280" spans="1:9">
      <c r="A280" s="292" t="s">
        <v>137</v>
      </c>
      <c r="B280" s="303">
        <v>2755.1959999999999</v>
      </c>
      <c r="C280" s="303">
        <v>2952.8670000000002</v>
      </c>
      <c r="D280" s="304">
        <v>-6.6942059999999998E-2</v>
      </c>
      <c r="E280" s="303">
        <v>10401.736999999999</v>
      </c>
      <c r="F280" s="303">
        <v>10052.007</v>
      </c>
      <c r="G280" s="304">
        <v>3.47920569E-2</v>
      </c>
      <c r="H280" s="303">
        <v>22538.406999999999</v>
      </c>
      <c r="I280" s="304">
        <v>-3.55026856E-2</v>
      </c>
    </row>
    <row r="281" spans="1:9">
      <c r="A281" s="292" t="s">
        <v>5</v>
      </c>
      <c r="B281" s="303">
        <v>3885700.5109999999</v>
      </c>
      <c r="C281" s="303">
        <v>3220770.7629999998</v>
      </c>
      <c r="D281" s="304">
        <v>0.2064505042</v>
      </c>
      <c r="E281" s="303">
        <v>31017435.09</v>
      </c>
      <c r="F281" s="303">
        <v>29133607.965</v>
      </c>
      <c r="G281" s="304">
        <v>6.4661648700000005E-2</v>
      </c>
      <c r="H281" s="303">
        <v>60640163.263999999</v>
      </c>
      <c r="I281" s="304">
        <v>4.9185806200000001E-2</v>
      </c>
    </row>
    <row r="282" spans="1:9">
      <c r="A282" s="292" t="s">
        <v>6</v>
      </c>
      <c r="B282" s="303">
        <v>7131118.1459999997</v>
      </c>
      <c r="C282" s="303">
        <v>6039558.7050000001</v>
      </c>
      <c r="D282" s="304">
        <v>0.18073496659999999</v>
      </c>
      <c r="E282" s="303">
        <v>27584412.441</v>
      </c>
      <c r="F282" s="303">
        <v>23675001.737</v>
      </c>
      <c r="G282" s="304">
        <v>0.16512821189999999</v>
      </c>
      <c r="H282" s="303">
        <v>54182234.255000003</v>
      </c>
      <c r="I282" s="304">
        <v>0.1596626199</v>
      </c>
    </row>
    <row r="283" spans="1:9">
      <c r="A283" s="292" t="s">
        <v>7</v>
      </c>
      <c r="B283" s="303">
        <v>622227.96100000001</v>
      </c>
      <c r="C283" s="303">
        <v>486226.61499999999</v>
      </c>
      <c r="D283" s="304">
        <v>0.27970773669999999</v>
      </c>
      <c r="E283" s="303">
        <v>1994390.135</v>
      </c>
      <c r="F283" s="303">
        <v>1741464.41</v>
      </c>
      <c r="G283" s="304">
        <v>0.14523737810000001</v>
      </c>
      <c r="H283" s="303">
        <v>3934925.247</v>
      </c>
      <c r="I283" s="304">
        <v>6.6695223000000003E-3</v>
      </c>
    </row>
    <row r="284" spans="1:9">
      <c r="A284" s="292" t="s">
        <v>8</v>
      </c>
      <c r="B284" s="303">
        <v>338343.81199999998</v>
      </c>
      <c r="C284" s="303">
        <v>317013.337</v>
      </c>
      <c r="D284" s="304">
        <v>6.7285733799999997E-2</v>
      </c>
      <c r="E284" s="303">
        <v>1807921.946</v>
      </c>
      <c r="F284" s="303">
        <v>1899687.227</v>
      </c>
      <c r="G284" s="304">
        <v>-4.83054682E-2</v>
      </c>
      <c r="H284" s="303">
        <v>3816756.642</v>
      </c>
      <c r="I284" s="304">
        <v>6.2675122000000003E-3</v>
      </c>
    </row>
    <row r="285" spans="1:9">
      <c r="A285" s="292" t="s">
        <v>9</v>
      </c>
      <c r="B285" s="303">
        <v>1134869.8689999999</v>
      </c>
      <c r="C285" s="303">
        <v>1377735.591</v>
      </c>
      <c r="D285" s="304">
        <v>-0.1762789055</v>
      </c>
      <c r="E285" s="303">
        <v>5664631.0089999996</v>
      </c>
      <c r="F285" s="303">
        <v>7668374.2539999997</v>
      </c>
      <c r="G285" s="304">
        <v>-0.26129961559999998</v>
      </c>
      <c r="H285" s="303">
        <v>13508704.688999999</v>
      </c>
      <c r="I285" s="304">
        <v>-0.1638582965</v>
      </c>
    </row>
    <row r="286" spans="1:9">
      <c r="A286" s="292" t="s">
        <v>66</v>
      </c>
      <c r="B286" s="303">
        <v>64850.919000000002</v>
      </c>
      <c r="C286" s="303">
        <v>38560.535000000003</v>
      </c>
      <c r="D286" s="304">
        <v>0.68179510480000005</v>
      </c>
      <c r="E286" s="303">
        <v>330316.815</v>
      </c>
      <c r="F286" s="303">
        <v>321941.08799999999</v>
      </c>
      <c r="G286" s="304">
        <v>2.60163344E-2</v>
      </c>
      <c r="H286" s="303">
        <v>719906.76549999998</v>
      </c>
      <c r="I286" s="304">
        <v>-7.06288422E-2</v>
      </c>
    </row>
    <row r="287" spans="1:9">
      <c r="A287" s="292" t="s">
        <v>67</v>
      </c>
      <c r="B287" s="303">
        <v>86292.805999999997</v>
      </c>
      <c r="C287" s="303">
        <v>73524.179999999993</v>
      </c>
      <c r="D287" s="304">
        <v>0.17366567029999999</v>
      </c>
      <c r="E287" s="303">
        <v>459194.49099999998</v>
      </c>
      <c r="F287" s="303">
        <v>481419.03600000002</v>
      </c>
      <c r="G287" s="304">
        <v>-4.61646577E-2</v>
      </c>
      <c r="H287" s="303">
        <v>1042336.2775</v>
      </c>
      <c r="I287" s="304">
        <v>-0.19113678719999999</v>
      </c>
    </row>
    <row r="288" spans="1:9">
      <c r="A288" s="251" t="s">
        <v>10</v>
      </c>
      <c r="B288" s="305">
        <v>24214602.641993999</v>
      </c>
      <c r="C288" s="305">
        <v>23106823.587336</v>
      </c>
      <c r="D288" s="306">
        <v>4.7941641600000001E-2</v>
      </c>
      <c r="E288" s="305">
        <v>136792888.795564</v>
      </c>
      <c r="F288" s="305">
        <v>133943522.923127</v>
      </c>
      <c r="G288" s="306">
        <v>2.12728903E-2</v>
      </c>
      <c r="H288" s="305">
        <v>275170644.64658898</v>
      </c>
      <c r="I288" s="306">
        <v>3.18572627E-2</v>
      </c>
    </row>
    <row r="289" spans="1:16">
      <c r="A289" s="292" t="s">
        <v>78</v>
      </c>
      <c r="B289" s="303">
        <v>632538.47960399999</v>
      </c>
      <c r="C289" s="303">
        <v>477091.774584</v>
      </c>
      <c r="D289" s="304">
        <v>0.32582138970000002</v>
      </c>
      <c r="E289" s="303">
        <v>3548956.36252</v>
      </c>
      <c r="F289" s="303">
        <v>2903289.1472370001</v>
      </c>
      <c r="G289" s="304">
        <v>0.2223916333</v>
      </c>
      <c r="H289" s="303">
        <v>6531688.8778569996</v>
      </c>
      <c r="I289" s="304">
        <v>0.26078746780000001</v>
      </c>
    </row>
    <row r="290" spans="1:16">
      <c r="A290" s="292" t="s">
        <v>115</v>
      </c>
      <c r="B290" s="303">
        <v>-999248.571</v>
      </c>
      <c r="C290" s="303">
        <v>-718620.00988200004</v>
      </c>
      <c r="D290" s="304">
        <v>0.3905103633</v>
      </c>
      <c r="E290" s="303">
        <v>-5703251.5009690002</v>
      </c>
      <c r="F290" s="303">
        <v>-4663222.3871219996</v>
      </c>
      <c r="G290" s="304">
        <v>0.2230279896</v>
      </c>
      <c r="H290" s="303">
        <v>-10193987.028044</v>
      </c>
      <c r="I290" s="304">
        <v>0.24417212460000001</v>
      </c>
    </row>
    <row r="291" spans="1:16">
      <c r="A291" s="292" t="s">
        <v>193</v>
      </c>
      <c r="B291" s="303">
        <v>1344.2339999999999</v>
      </c>
      <c r="C291" s="303">
        <v>758.95100000000002</v>
      </c>
      <c r="D291" s="304">
        <v>0.77117363309999998</v>
      </c>
      <c r="E291" s="303">
        <v>7810.0780000000004</v>
      </c>
      <c r="F291" s="303">
        <v>3730.9229999999998</v>
      </c>
      <c r="G291" s="304">
        <v>1.0933366891</v>
      </c>
      <c r="H291" s="303">
        <v>11583.050999999999</v>
      </c>
      <c r="I291" s="304">
        <v>0.2488406792</v>
      </c>
    </row>
    <row r="292" spans="1:16">
      <c r="A292" s="292" t="s">
        <v>194</v>
      </c>
      <c r="B292" s="303">
        <v>-1632.4480000000001</v>
      </c>
      <c r="C292" s="303">
        <v>-972.81200000000001</v>
      </c>
      <c r="D292" s="304">
        <v>0.67807140539999999</v>
      </c>
      <c r="E292" s="303">
        <v>-9432.018</v>
      </c>
      <c r="F292" s="303">
        <v>-4684.7209999999995</v>
      </c>
      <c r="G292" s="304">
        <v>1.0133574657</v>
      </c>
      <c r="H292" s="303">
        <v>-14327.875</v>
      </c>
      <c r="I292" s="304">
        <v>0.24262564019999999</v>
      </c>
    </row>
    <row r="293" spans="1:16">
      <c r="A293" s="292" t="s">
        <v>116</v>
      </c>
      <c r="B293" s="303">
        <v>-1623449.8640000001</v>
      </c>
      <c r="C293" s="303">
        <v>-1002501.307</v>
      </c>
      <c r="D293" s="304">
        <v>0.61939924930000001</v>
      </c>
      <c r="E293" s="303">
        <v>-7193187.0099999998</v>
      </c>
      <c r="F293" s="303">
        <v>-6902141.7539999997</v>
      </c>
      <c r="G293" s="304">
        <v>4.2167383199999998E-2</v>
      </c>
      <c r="H293" s="303">
        <v>-13085602.693</v>
      </c>
      <c r="I293" s="304">
        <v>0.1611212984</v>
      </c>
    </row>
    <row r="294" spans="1:16">
      <c r="A294" s="251" t="s">
        <v>117</v>
      </c>
      <c r="B294" s="305">
        <v>22224154.472598001</v>
      </c>
      <c r="C294" s="305">
        <v>21862580.184037998</v>
      </c>
      <c r="D294" s="306">
        <v>1.6538500300000002E-2</v>
      </c>
      <c r="E294" s="305">
        <v>127443784.70711499</v>
      </c>
      <c r="F294" s="305">
        <v>125280494.13124201</v>
      </c>
      <c r="G294" s="306">
        <v>1.7267576999999999E-2</v>
      </c>
      <c r="H294" s="305">
        <v>258419998.97940201</v>
      </c>
      <c r="I294" s="306">
        <v>2.38903554E-2</v>
      </c>
    </row>
    <row r="295" spans="1:16">
      <c r="A295" s="292" t="s">
        <v>274</v>
      </c>
      <c r="B295" s="303">
        <v>427.99400000000003</v>
      </c>
      <c r="C295" s="303">
        <v>0</v>
      </c>
      <c r="D295" s="304">
        <v>0</v>
      </c>
      <c r="E295" s="303">
        <v>499.36599999999999</v>
      </c>
      <c r="F295" s="303">
        <v>0</v>
      </c>
      <c r="G295" s="304">
        <v>0</v>
      </c>
      <c r="H295" s="303">
        <v>499.36599999999999</v>
      </c>
      <c r="I295" s="304">
        <v>0</v>
      </c>
    </row>
    <row r="296" spans="1:16">
      <c r="A296" s="180" t="s">
        <v>108</v>
      </c>
      <c r="B296" s="191">
        <f>SUM(B274,B280:B284,B286)/1000</f>
        <v>14153.187014993999</v>
      </c>
      <c r="C296" s="191">
        <f>SUM(C274,C280:C284,C286)/1000</f>
        <v>12514.392714336</v>
      </c>
      <c r="E296" s="191">
        <f>SUM(E274,E280:E284,E286)/1000</f>
        <v>81913.449379564001</v>
      </c>
      <c r="F296" s="191">
        <f>SUM(F274,F280:F284,F286)/1000</f>
        <v>78137.391533126996</v>
      </c>
    </row>
    <row r="297" spans="1:16">
      <c r="A297" s="180" t="s">
        <v>109</v>
      </c>
      <c r="B297" s="191">
        <f>SUM(B275:B279,B285,B287)/1000</f>
        <v>10061.415626999998</v>
      </c>
      <c r="C297" s="191">
        <f>SUM(C275:C279,C285,C287)/1000</f>
        <v>10592.430873000001</v>
      </c>
      <c r="E297" s="191">
        <f>SUM(E275:E279,E285,E287)/1000</f>
        <v>54879.439415999994</v>
      </c>
      <c r="F297" s="191">
        <f>SUM(F275:F279,F285,F287)/1000</f>
        <v>55806.131389999995</v>
      </c>
    </row>
    <row r="298" spans="1:16">
      <c r="A298" s="180" t="s">
        <v>110</v>
      </c>
      <c r="B298" s="181">
        <f>B296/(B288/1000)*100</f>
        <v>58.448974877865382</v>
      </c>
      <c r="C298" s="181">
        <f>C296/(C288/1000)*100</f>
        <v>54.158862065293469</v>
      </c>
      <c r="E298" s="181">
        <f>E296/(E288/1000)*100</f>
        <v>59.881365252826171</v>
      </c>
      <c r="F298" s="181">
        <f>F296/(F288/1000)*100</f>
        <v>58.336073165681704</v>
      </c>
    </row>
    <row r="299" spans="1:16">
      <c r="A299" s="180" t="s">
        <v>111</v>
      </c>
      <c r="B299" s="181">
        <f>B297/(B288/1000)*100</f>
        <v>41.551025122134618</v>
      </c>
      <c r="C299" s="181">
        <f>C297/(C288/1000)*100</f>
        <v>45.841137934706538</v>
      </c>
      <c r="E299" s="181">
        <f>E297/(E288/1000)*100</f>
        <v>40.118634747173829</v>
      </c>
      <c r="F299" s="181">
        <f>F297/(F288/1000)*100</f>
        <v>41.663926834318303</v>
      </c>
    </row>
    <row r="302" spans="1:16">
      <c r="A302" s="179" t="s">
        <v>28</v>
      </c>
      <c r="B302" s="179" t="str">
        <f>MID(UPPER(TEXT(B303,"mmm")),1,1)</f>
        <v>J</v>
      </c>
      <c r="C302" s="179" t="str">
        <f t="shared" ref="C302:N302" si="35">MID(UPPER(TEXT(C303,"mmm")),1,1)</f>
        <v>J</v>
      </c>
      <c r="D302" s="179" t="str">
        <f t="shared" si="35"/>
        <v>A</v>
      </c>
      <c r="E302" s="179" t="str">
        <f t="shared" si="35"/>
        <v>S</v>
      </c>
      <c r="F302" s="179" t="str">
        <f t="shared" si="35"/>
        <v>O</v>
      </c>
      <c r="G302" s="179" t="str">
        <f t="shared" si="35"/>
        <v>N</v>
      </c>
      <c r="H302" s="179" t="str">
        <f t="shared" si="35"/>
        <v>D</v>
      </c>
      <c r="I302" s="179" t="str">
        <f t="shared" si="35"/>
        <v>E</v>
      </c>
      <c r="J302" s="179" t="str">
        <f t="shared" si="35"/>
        <v>F</v>
      </c>
      <c r="K302" s="179" t="str">
        <f t="shared" si="35"/>
        <v>M</v>
      </c>
      <c r="L302" s="179" t="str">
        <f t="shared" si="35"/>
        <v>A</v>
      </c>
      <c r="M302" s="179" t="str">
        <f t="shared" si="35"/>
        <v>M</v>
      </c>
      <c r="N302" s="179" t="str">
        <f t="shared" si="35"/>
        <v>J</v>
      </c>
    </row>
    <row r="303" spans="1:16">
      <c r="A303" s="179" t="s">
        <v>106</v>
      </c>
      <c r="B303" s="179" t="str">
        <f>TEXT(EDATE(C303,-1),"mmmm aaaa")</f>
        <v>junio 2025</v>
      </c>
      <c r="C303" s="179" t="str">
        <f t="shared" ref="C303" si="36">TEXT(EDATE(D303,-1),"mmmm aaaa")</f>
        <v>julio 2025</v>
      </c>
      <c r="D303" s="179" t="str">
        <f t="shared" ref="D303" si="37">TEXT(EDATE(E303,-1),"mmmm aaaa")</f>
        <v>agosto 2025</v>
      </c>
      <c r="E303" s="179" t="str">
        <f t="shared" ref="E303" si="38">TEXT(EDATE(F303,-1),"mmmm aaaa")</f>
        <v>septiembre 2025</v>
      </c>
      <c r="F303" s="179" t="str">
        <f t="shared" ref="F303" si="39">TEXT(EDATE(G303,-1),"mmmm aaaa")</f>
        <v>octubre 2025</v>
      </c>
      <c r="G303" s="179" t="str">
        <f t="shared" ref="G303" si="40">TEXT(EDATE(H303,-1),"mmmm aaaa")</f>
        <v>noviembre 2025</v>
      </c>
      <c r="H303" s="179" t="str">
        <f t="shared" ref="H303" si="41">TEXT(EDATE(I303,-1),"mmmm aaaa")</f>
        <v>diciembre 2025</v>
      </c>
      <c r="I303" s="179" t="str">
        <f t="shared" ref="I303" si="42">TEXT(EDATE(J303,-1),"mmmm aaaa")</f>
        <v>enero 2026</v>
      </c>
      <c r="J303" s="179" t="str">
        <f t="shared" ref="J303" si="43">TEXT(EDATE(K303,-1),"mmmm aaaa")</f>
        <v>febrero 2026</v>
      </c>
      <c r="K303" s="179" t="str">
        <f t="shared" ref="K303" si="44">TEXT(EDATE(L303,-1),"mmmm aaaa")</f>
        <v>marzo 2026</v>
      </c>
      <c r="L303" s="179" t="str">
        <f t="shared" ref="L303" si="45">TEXT(EDATE(M303,-1),"mmmm aaaa")</f>
        <v>abril 2026</v>
      </c>
      <c r="M303" s="179" t="str">
        <f t="shared" ref="M303" si="46">TEXT(EDATE(N303,-1),"mmmm aaaa")</f>
        <v>mayo 2026</v>
      </c>
      <c r="N303" s="179" t="str">
        <f>A2</f>
        <v>Junio 2026</v>
      </c>
    </row>
    <row r="304" spans="1:16" s="176" customFormat="1" ht="12">
      <c r="A304" s="288" t="s">
        <v>78</v>
      </c>
      <c r="B304" s="191">
        <f>HLOOKUP(B$145,$120:$142,17,FALSE)</f>
        <v>477.09177458400001</v>
      </c>
      <c r="C304" s="191">
        <f t="shared" ref="C304:N304" si="47">HLOOKUP(C$145,$120:$142,17,FALSE)</f>
        <v>534.74221343099998</v>
      </c>
      <c r="D304" s="191">
        <f t="shared" si="47"/>
        <v>575.76965884200001</v>
      </c>
      <c r="E304" s="191">
        <f t="shared" si="47"/>
        <v>539.29246899999998</v>
      </c>
      <c r="F304" s="191">
        <f t="shared" si="47"/>
        <v>493.89782556400002</v>
      </c>
      <c r="G304" s="191">
        <f t="shared" si="47"/>
        <v>465.338452448</v>
      </c>
      <c r="H304" s="191">
        <f t="shared" si="47"/>
        <v>373.691896052</v>
      </c>
      <c r="I304" s="191">
        <f t="shared" si="47"/>
        <v>432.58889631099998</v>
      </c>
      <c r="J304" s="191">
        <f t="shared" si="47"/>
        <v>478.85306402100002</v>
      </c>
      <c r="K304" s="191">
        <f t="shared" si="47"/>
        <v>592.49212291900005</v>
      </c>
      <c r="L304" s="191">
        <f t="shared" si="47"/>
        <v>714.93459475700001</v>
      </c>
      <c r="M304" s="191">
        <f t="shared" si="47"/>
        <v>697.54920490799998</v>
      </c>
      <c r="N304" s="175">
        <f t="shared" si="47"/>
        <v>632.53847960400003</v>
      </c>
      <c r="O304" s="209">
        <f>((N304/B304)-1)*100</f>
        <v>32.582138972222218</v>
      </c>
      <c r="P304" s="300">
        <f>+N304/N306</f>
        <v>0.9978793663665666</v>
      </c>
    </row>
    <row r="305" spans="1:16" s="176" customFormat="1" ht="12">
      <c r="A305" s="288" t="s">
        <v>193</v>
      </c>
      <c r="B305" s="191">
        <f>HLOOKUP(B$145,$120:$142,19,FALSE)</f>
        <v>0.72564399999999996</v>
      </c>
      <c r="C305" s="191">
        <f t="shared" ref="C305:N305" si="48">HLOOKUP(C$145,$120:$142,19,FALSE)</f>
        <v>0.82291599999999998</v>
      </c>
      <c r="D305" s="191">
        <f t="shared" si="48"/>
        <v>0.51392599999999999</v>
      </c>
      <c r="E305" s="191">
        <f t="shared" si="48"/>
        <v>0.60081499999999999</v>
      </c>
      <c r="F305" s="191">
        <f t="shared" si="48"/>
        <v>0.49851800000000002</v>
      </c>
      <c r="G305" s="191">
        <f t="shared" si="48"/>
        <v>0.502332</v>
      </c>
      <c r="H305" s="191">
        <f t="shared" si="48"/>
        <v>0.79705999999999999</v>
      </c>
      <c r="I305" s="191">
        <f t="shared" si="48"/>
        <v>0.91577299999999995</v>
      </c>
      <c r="J305" s="191">
        <f t="shared" si="48"/>
        <v>1.0965149999999999</v>
      </c>
      <c r="K305" s="191">
        <f t="shared" si="48"/>
        <v>1.485781</v>
      </c>
      <c r="L305" s="191">
        <f t="shared" si="48"/>
        <v>1.4232400000000001</v>
      </c>
      <c r="M305" s="191">
        <f t="shared" si="48"/>
        <v>1.50038</v>
      </c>
      <c r="N305" s="175">
        <f t="shared" si="48"/>
        <v>1.344233</v>
      </c>
      <c r="O305" s="209">
        <f t="shared" ref="O305:O310" si="49">((N305/B305)-1)*100</f>
        <v>85.246897927909558</v>
      </c>
      <c r="P305" s="300">
        <f>+N305/N306</f>
        <v>2.1206336334333364E-3</v>
      </c>
    </row>
    <row r="306" spans="1:16" s="176" customFormat="1" ht="12">
      <c r="A306" s="174" t="s">
        <v>213</v>
      </c>
      <c r="B306" s="191">
        <f>SUM(B304:B305)</f>
        <v>477.817418584</v>
      </c>
      <c r="C306" s="191">
        <f t="shared" ref="C306:N306" si="50">SUM(C304:C305)</f>
        <v>535.56512943099995</v>
      </c>
      <c r="D306" s="191">
        <f t="shared" si="50"/>
        <v>576.28358484199998</v>
      </c>
      <c r="E306" s="191">
        <f t="shared" si="50"/>
        <v>539.89328399999999</v>
      </c>
      <c r="F306" s="191">
        <f t="shared" si="50"/>
        <v>494.39634356400001</v>
      </c>
      <c r="G306" s="191">
        <f t="shared" si="50"/>
        <v>465.84078444800002</v>
      </c>
      <c r="H306" s="191">
        <f t="shared" si="50"/>
        <v>374.48895605199999</v>
      </c>
      <c r="I306" s="191">
        <f t="shared" si="50"/>
        <v>433.50466931099999</v>
      </c>
      <c r="J306" s="191">
        <f t="shared" si="50"/>
        <v>479.94957902100003</v>
      </c>
      <c r="K306" s="191">
        <f t="shared" si="50"/>
        <v>593.97790391900003</v>
      </c>
      <c r="L306" s="191">
        <f t="shared" si="50"/>
        <v>716.35783475699998</v>
      </c>
      <c r="M306" s="191">
        <f t="shared" si="50"/>
        <v>699.04958490799993</v>
      </c>
      <c r="N306" s="175">
        <f t="shared" si="50"/>
        <v>633.88271260400006</v>
      </c>
      <c r="O306" s="209">
        <f t="shared" si="49"/>
        <v>32.66211903335288</v>
      </c>
      <c r="P306" s="299"/>
    </row>
    <row r="307" spans="1:16" s="176" customFormat="1" ht="12">
      <c r="A307" s="287" t="s">
        <v>115</v>
      </c>
      <c r="B307" s="191">
        <f>HLOOKUP(B$145,$120:$142,18,FALSE)</f>
        <v>-718.62000988199998</v>
      </c>
      <c r="C307" s="191">
        <f t="shared" ref="C307:N307" si="51">HLOOKUP(C$145,$120:$142,18,FALSE)</f>
        <v>-803.21347497099998</v>
      </c>
      <c r="D307" s="191">
        <f t="shared" si="51"/>
        <v>-846.41290735999996</v>
      </c>
      <c r="E307" s="191">
        <f t="shared" si="51"/>
        <v>-800.34021899200002</v>
      </c>
      <c r="F307" s="191">
        <f t="shared" si="51"/>
        <v>-742.29389290500001</v>
      </c>
      <c r="G307" s="191">
        <f t="shared" si="51"/>
        <v>-744.83186728099997</v>
      </c>
      <c r="H307" s="191">
        <f t="shared" si="51"/>
        <v>-553.64316556599999</v>
      </c>
      <c r="I307" s="191">
        <f t="shared" si="51"/>
        <v>-750.778886199</v>
      </c>
      <c r="J307" s="191">
        <f t="shared" si="51"/>
        <v>-916.09621200000004</v>
      </c>
      <c r="K307" s="191">
        <f t="shared" si="51"/>
        <v>-898.57029618199999</v>
      </c>
      <c r="L307" s="191">
        <f t="shared" si="51"/>
        <v>-1041.8250329479999</v>
      </c>
      <c r="M307" s="191">
        <f t="shared" si="51"/>
        <v>-1096.7325026399999</v>
      </c>
      <c r="N307" s="175">
        <f t="shared" si="51"/>
        <v>-999.24857099999997</v>
      </c>
      <c r="O307" s="209">
        <f t="shared" si="49"/>
        <v>39.051036327819524</v>
      </c>
      <c r="P307" s="300">
        <f>+N307/N309</f>
        <v>0.99838099987549023</v>
      </c>
    </row>
    <row r="308" spans="1:16" s="176" customFormat="1" ht="12">
      <c r="A308" s="287" t="s">
        <v>194</v>
      </c>
      <c r="B308" s="191">
        <f>HLOOKUP(B$145,$120:$142,20,FALSE)</f>
        <v>-0.90635600000000005</v>
      </c>
      <c r="C308" s="191">
        <f t="shared" ref="C308:N308" si="52">HLOOKUP(C$145,$120:$142,20,FALSE)</f>
        <v>-1.0079309999999999</v>
      </c>
      <c r="D308" s="191">
        <f t="shared" si="52"/>
        <v>-0.66731700000000005</v>
      </c>
      <c r="E308" s="191">
        <f t="shared" si="52"/>
        <v>-0.77025299999999997</v>
      </c>
      <c r="F308" s="191">
        <f t="shared" si="52"/>
        <v>-0.64426600000000001</v>
      </c>
      <c r="G308" s="191">
        <f t="shared" si="52"/>
        <v>-0.63808799999999999</v>
      </c>
      <c r="H308" s="191">
        <f t="shared" si="52"/>
        <v>-0.99353100000000005</v>
      </c>
      <c r="I308" s="191">
        <f t="shared" si="52"/>
        <v>-1.1298410000000001</v>
      </c>
      <c r="J308" s="191">
        <f t="shared" si="52"/>
        <v>-1.2753190000000001</v>
      </c>
      <c r="K308" s="191">
        <f t="shared" si="52"/>
        <v>-1.7680640000000001</v>
      </c>
      <c r="L308" s="191">
        <f t="shared" si="52"/>
        <v>-1.699635</v>
      </c>
      <c r="M308" s="191">
        <f t="shared" si="52"/>
        <v>-1.797998</v>
      </c>
      <c r="N308" s="175">
        <f t="shared" si="52"/>
        <v>-1.6204069999999999</v>
      </c>
      <c r="O308" s="209">
        <f t="shared" si="49"/>
        <v>78.782619632903604</v>
      </c>
      <c r="P308" s="300">
        <f>+N308/N309</f>
        <v>1.6190001245098037E-3</v>
      </c>
    </row>
    <row r="309" spans="1:16" s="176" customFormat="1" ht="12">
      <c r="A309" s="174" t="s">
        <v>215</v>
      </c>
      <c r="B309" s="191">
        <f>SUM(B307:B308)</f>
        <v>-719.52636588199994</v>
      </c>
      <c r="C309" s="191">
        <f t="shared" ref="C309:N309" si="53">SUM(C307:C308)</f>
        <v>-804.22140597099997</v>
      </c>
      <c r="D309" s="191">
        <f t="shared" si="53"/>
        <v>-847.08022435999999</v>
      </c>
      <c r="E309" s="191">
        <f t="shared" si="53"/>
        <v>-801.11047199200004</v>
      </c>
      <c r="F309" s="191">
        <f t="shared" si="53"/>
        <v>-742.93815890500002</v>
      </c>
      <c r="G309" s="191">
        <f t="shared" si="53"/>
        <v>-745.46995528100001</v>
      </c>
      <c r="H309" s="191">
        <f t="shared" si="53"/>
        <v>-554.63669656599996</v>
      </c>
      <c r="I309" s="191">
        <f t="shared" si="53"/>
        <v>-751.90872719900005</v>
      </c>
      <c r="J309" s="191">
        <f t="shared" si="53"/>
        <v>-917.371531</v>
      </c>
      <c r="K309" s="191">
        <f t="shared" si="53"/>
        <v>-900.33836018199997</v>
      </c>
      <c r="L309" s="191">
        <f t="shared" si="53"/>
        <v>-1043.5246679479999</v>
      </c>
      <c r="M309" s="191">
        <f t="shared" si="53"/>
        <v>-1098.5305006399999</v>
      </c>
      <c r="N309" s="175">
        <f t="shared" si="53"/>
        <v>-1000.868978</v>
      </c>
      <c r="O309" s="209">
        <f t="shared" si="49"/>
        <v>39.101084471467338</v>
      </c>
    </row>
    <row r="310" spans="1:16" s="176" customFormat="1" ht="12">
      <c r="A310" s="177" t="s">
        <v>210</v>
      </c>
      <c r="B310" s="286">
        <f>SUM(B306,B309)</f>
        <v>-241.70894729799994</v>
      </c>
      <c r="C310" s="286">
        <f t="shared" ref="C310:N310" si="54">SUM(C306,C309)</f>
        <v>-268.65627654000002</v>
      </c>
      <c r="D310" s="286">
        <f t="shared" si="54"/>
        <v>-270.79663951800001</v>
      </c>
      <c r="E310" s="286">
        <f t="shared" si="54"/>
        <v>-261.21718799200005</v>
      </c>
      <c r="F310" s="286">
        <f t="shared" si="54"/>
        <v>-248.54181534100002</v>
      </c>
      <c r="G310" s="286">
        <f t="shared" si="54"/>
        <v>-279.62917083299999</v>
      </c>
      <c r="H310" s="286">
        <f t="shared" si="54"/>
        <v>-180.14774051399996</v>
      </c>
      <c r="I310" s="286">
        <f t="shared" si="54"/>
        <v>-318.40405788800007</v>
      </c>
      <c r="J310" s="286">
        <f t="shared" si="54"/>
        <v>-437.42195197899997</v>
      </c>
      <c r="K310" s="286">
        <f t="shared" si="54"/>
        <v>-306.36045626299995</v>
      </c>
      <c r="L310" s="286">
        <f t="shared" si="54"/>
        <v>-327.16683319099991</v>
      </c>
      <c r="M310" s="286">
        <f t="shared" si="54"/>
        <v>-399.48091573199997</v>
      </c>
      <c r="N310" s="178">
        <f t="shared" si="54"/>
        <v>-366.98626539599991</v>
      </c>
      <c r="O310" s="209">
        <f t="shared" si="49"/>
        <v>51.829822395257509</v>
      </c>
    </row>
  </sheetData>
  <sortState xmlns:xlrd2="http://schemas.microsoft.com/office/spreadsheetml/2017/richdata2" ref="H51:J61">
    <sortCondition descending="1" ref="J51:J61"/>
  </sortState>
  <mergeCells count="14">
    <mergeCell ref="B4:J4"/>
    <mergeCell ref="B5:J5"/>
    <mergeCell ref="B118:Z118"/>
    <mergeCell ref="B119:Z119"/>
    <mergeCell ref="A263:A265"/>
    <mergeCell ref="A260:A262"/>
    <mergeCell ref="B271:I271"/>
    <mergeCell ref="A255:A256"/>
    <mergeCell ref="B179:V179"/>
    <mergeCell ref="B180:V180"/>
    <mergeCell ref="B181:V181"/>
    <mergeCell ref="B219:V219"/>
    <mergeCell ref="B220:V220"/>
    <mergeCell ref="B221:V221"/>
  </mergeCells>
  <conditionalFormatting sqref="X184:X214">
    <cfRule type="cellIs" dxfId="2" priority="2" operator="equal">
      <formula>$V$172</formula>
    </cfRule>
  </conditionalFormatting>
  <conditionalFormatting sqref="X224:X250">
    <cfRule type="cellIs" dxfId="1" priority="1" operator="equal">
      <formula>$V$172</formula>
    </cfRule>
  </conditionalFormatting>
  <conditionalFormatting sqref="Z184:Z214">
    <cfRule type="cellIs" dxfId="0" priority="3" operator="equal">
      <formula>$V$172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J1209"/>
  <sheetViews>
    <sheetView zoomScaleNormal="100" workbookViewId="0"/>
  </sheetViews>
  <sheetFormatPr baseColWidth="10" defaultRowHeight="12.75"/>
  <cols>
    <col min="1" max="2" width="14.5703125" customWidth="1"/>
    <col min="3" max="5" width="17.5703125" customWidth="1"/>
    <col min="6" max="6" width="7.5703125" style="188" customWidth="1"/>
    <col min="7" max="7" width="7.5703125" style="189" customWidth="1"/>
  </cols>
  <sheetData>
    <row r="1" spans="1:9">
      <c r="C1" s="190" t="s">
        <v>30</v>
      </c>
      <c r="D1" s="190" t="s">
        <v>31</v>
      </c>
      <c r="E1" s="190" t="s">
        <v>32</v>
      </c>
    </row>
    <row r="2" spans="1:9">
      <c r="C2" s="351" t="s">
        <v>119</v>
      </c>
      <c r="D2" s="352"/>
      <c r="E2" s="352"/>
    </row>
    <row r="3" spans="1:9">
      <c r="A3">
        <v>0</v>
      </c>
      <c r="B3" s="46">
        <v>45444</v>
      </c>
      <c r="C3" s="166">
        <v>40.377900895550802</v>
      </c>
      <c r="D3" s="166">
        <v>62.145020957620687</v>
      </c>
      <c r="E3" s="166">
        <f>IF(C3&lt;D3,C3,D3)</f>
        <v>40.377900895550802</v>
      </c>
      <c r="F3" s="188" t="str">
        <f t="shared" ref="F3:F66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>
        <f>YEAR(B3)</f>
        <v>2024</v>
      </c>
    </row>
    <row r="4" spans="1:9">
      <c r="A4">
        <v>1</v>
      </c>
      <c r="B4" s="46">
        <v>45445</v>
      </c>
      <c r="C4" s="166">
        <v>37.02979080555081</v>
      </c>
      <c r="D4" s="166">
        <v>62.145020957620687</v>
      </c>
      <c r="E4" s="166">
        <f t="shared" ref="E4:E67" si="1">IF(C4&lt;D4,C4,D4)</f>
        <v>37.02979080555081</v>
      </c>
      <c r="F4" s="188" t="str">
        <f t="shared" si="0"/>
        <v/>
      </c>
      <c r="H4" t="str">
        <f>IF(MONTH(B4)=1,IF(DAY(B4)=1,YEAR(B4),""),"")</f>
        <v/>
      </c>
      <c r="I4" s="188" t="str">
        <f t="shared" ref="I4:I67" si="2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9">
      <c r="A5">
        <v>2</v>
      </c>
      <c r="B5" s="46">
        <v>45446</v>
      </c>
      <c r="C5" s="166">
        <v>67.751569642548944</v>
      </c>
      <c r="D5" s="166">
        <v>62.145020957620687</v>
      </c>
      <c r="E5" s="166">
        <f t="shared" si="1"/>
        <v>62.145020957620687</v>
      </c>
      <c r="F5" s="188" t="str">
        <f t="shared" si="0"/>
        <v/>
      </c>
      <c r="H5" t="str">
        <f t="shared" ref="H5:H68" si="3">IF(MONTH(B5)=1,IF(DAY(B5)=1,YEAR(B5),""),"")</f>
        <v/>
      </c>
      <c r="I5" s="188" t="str">
        <f t="shared" si="2"/>
        <v/>
      </c>
    </row>
    <row r="6" spans="1:9">
      <c r="A6">
        <v>3</v>
      </c>
      <c r="B6" s="46">
        <v>45447</v>
      </c>
      <c r="C6" s="166">
        <v>98.805928746552667</v>
      </c>
      <c r="D6" s="166">
        <v>62.145020957620687</v>
      </c>
      <c r="E6" s="166">
        <f t="shared" si="1"/>
        <v>62.145020957620687</v>
      </c>
      <c r="F6" s="188" t="str">
        <f t="shared" si="0"/>
        <v/>
      </c>
      <c r="H6" t="str">
        <f t="shared" si="3"/>
        <v/>
      </c>
      <c r="I6" s="188" t="str">
        <f t="shared" si="2"/>
        <v/>
      </c>
    </row>
    <row r="7" spans="1:9">
      <c r="A7">
        <v>4</v>
      </c>
      <c r="B7" s="46">
        <v>45448</v>
      </c>
      <c r="C7" s="166">
        <v>79.432074932758439</v>
      </c>
      <c r="D7" s="166">
        <v>62.145020957620687</v>
      </c>
      <c r="E7" s="166">
        <f t="shared" si="1"/>
        <v>62.145020957620687</v>
      </c>
      <c r="F7" s="188" t="str">
        <f t="shared" si="0"/>
        <v/>
      </c>
      <c r="H7" t="str">
        <f t="shared" si="3"/>
        <v/>
      </c>
      <c r="I7" s="188" t="str">
        <f t="shared" si="2"/>
        <v/>
      </c>
    </row>
    <row r="8" spans="1:9">
      <c r="A8">
        <v>5</v>
      </c>
      <c r="B8" s="46">
        <v>45449</v>
      </c>
      <c r="C8" s="166">
        <v>69.188575634758436</v>
      </c>
      <c r="D8" s="166">
        <v>62.145020957620687</v>
      </c>
      <c r="E8" s="166">
        <f t="shared" si="1"/>
        <v>62.145020957620687</v>
      </c>
      <c r="F8" s="188" t="str">
        <f t="shared" si="0"/>
        <v/>
      </c>
      <c r="H8" t="str">
        <f t="shared" si="3"/>
        <v/>
      </c>
      <c r="I8" s="188" t="str">
        <f t="shared" si="2"/>
        <v/>
      </c>
    </row>
    <row r="9" spans="1:9">
      <c r="A9">
        <v>6</v>
      </c>
      <c r="B9" s="46">
        <v>45450</v>
      </c>
      <c r="C9" s="166">
        <v>70.878695622756581</v>
      </c>
      <c r="D9" s="166">
        <v>62.145020957620687</v>
      </c>
      <c r="E9" s="166">
        <f t="shared" si="1"/>
        <v>62.145020957620687</v>
      </c>
      <c r="F9" s="188" t="str">
        <f t="shared" si="0"/>
        <v/>
      </c>
      <c r="H9" t="str">
        <f t="shared" si="3"/>
        <v/>
      </c>
      <c r="I9" s="188" t="str">
        <f t="shared" si="2"/>
        <v/>
      </c>
    </row>
    <row r="10" spans="1:9">
      <c r="A10">
        <v>7</v>
      </c>
      <c r="B10" s="46">
        <v>45451</v>
      </c>
      <c r="C10" s="166">
        <v>50.981575186758434</v>
      </c>
      <c r="D10" s="166">
        <v>62.145020957620687</v>
      </c>
      <c r="E10" s="166">
        <f t="shared" si="1"/>
        <v>50.981575186758434</v>
      </c>
      <c r="F10" s="188" t="str">
        <f t="shared" si="0"/>
        <v/>
      </c>
      <c r="H10" t="str">
        <f t="shared" si="3"/>
        <v/>
      </c>
      <c r="I10" s="188" t="str">
        <f t="shared" si="2"/>
        <v/>
      </c>
    </row>
    <row r="11" spans="1:9">
      <c r="A11">
        <v>8</v>
      </c>
      <c r="B11" s="46">
        <v>45452</v>
      </c>
      <c r="C11" s="166">
        <v>20.362609987756571</v>
      </c>
      <c r="D11" s="166">
        <v>62.145020957620687</v>
      </c>
      <c r="E11" s="166">
        <f t="shared" si="1"/>
        <v>20.362609987756571</v>
      </c>
      <c r="F11" s="188" t="str">
        <f t="shared" si="0"/>
        <v/>
      </c>
      <c r="H11" t="str">
        <f t="shared" si="3"/>
        <v/>
      </c>
      <c r="I11" s="188" t="str">
        <f t="shared" si="2"/>
        <v/>
      </c>
    </row>
    <row r="12" spans="1:9">
      <c r="A12">
        <v>9</v>
      </c>
      <c r="B12" s="46">
        <v>45453</v>
      </c>
      <c r="C12" s="166">
        <v>36.739903890758434</v>
      </c>
      <c r="D12" s="166">
        <v>62.145020957620687</v>
      </c>
      <c r="E12" s="166">
        <f t="shared" si="1"/>
        <v>36.739903890758434</v>
      </c>
      <c r="F12" s="188" t="str">
        <f t="shared" si="0"/>
        <v/>
      </c>
      <c r="H12" t="str">
        <f t="shared" si="3"/>
        <v/>
      </c>
      <c r="I12" s="188" t="str">
        <f t="shared" si="2"/>
        <v/>
      </c>
    </row>
    <row r="13" spans="1:9">
      <c r="A13">
        <v>10</v>
      </c>
      <c r="B13" s="46">
        <v>45454</v>
      </c>
      <c r="C13" s="166">
        <v>39.157048026758439</v>
      </c>
      <c r="D13" s="166">
        <v>62.145020957620687</v>
      </c>
      <c r="E13" s="166">
        <f t="shared" si="1"/>
        <v>39.157048026758439</v>
      </c>
      <c r="F13" s="188" t="str">
        <f t="shared" si="0"/>
        <v/>
      </c>
      <c r="H13" t="str">
        <f t="shared" si="3"/>
        <v/>
      </c>
      <c r="I13" s="188" t="str">
        <f t="shared" si="2"/>
        <v/>
      </c>
    </row>
    <row r="14" spans="1:9">
      <c r="A14">
        <v>11</v>
      </c>
      <c r="B14" s="46">
        <v>45455</v>
      </c>
      <c r="C14" s="166">
        <v>60.845410224167765</v>
      </c>
      <c r="D14" s="166">
        <v>62.145020957620687</v>
      </c>
      <c r="E14" s="166">
        <f t="shared" si="1"/>
        <v>60.845410224167765</v>
      </c>
      <c r="F14" s="188" t="str">
        <f t="shared" si="0"/>
        <v/>
      </c>
      <c r="H14" t="str">
        <f t="shared" si="3"/>
        <v/>
      </c>
      <c r="I14" s="188" t="str">
        <f t="shared" si="2"/>
        <v/>
      </c>
    </row>
    <row r="15" spans="1:9">
      <c r="A15">
        <v>12</v>
      </c>
      <c r="B15" s="46">
        <v>45456</v>
      </c>
      <c r="C15" s="166">
        <v>66.206468161169624</v>
      </c>
      <c r="D15" s="166">
        <v>62.145020957620687</v>
      </c>
      <c r="E15" s="166">
        <f t="shared" si="1"/>
        <v>62.145020957620687</v>
      </c>
      <c r="F15" s="188" t="str">
        <f t="shared" si="0"/>
        <v/>
      </c>
      <c r="H15" t="str">
        <f t="shared" si="3"/>
        <v/>
      </c>
      <c r="I15" s="188" t="str">
        <f t="shared" si="2"/>
        <v/>
      </c>
    </row>
    <row r="16" spans="1:9">
      <c r="A16">
        <v>13</v>
      </c>
      <c r="B16" s="46">
        <v>45457</v>
      </c>
      <c r="C16" s="166">
        <v>57.264168413165898</v>
      </c>
      <c r="D16" s="166">
        <v>62.145020957620687</v>
      </c>
      <c r="E16" s="166">
        <f t="shared" si="1"/>
        <v>57.264168413165898</v>
      </c>
      <c r="F16" s="188" t="str">
        <f t="shared" si="0"/>
        <v/>
      </c>
      <c r="H16" t="str">
        <f t="shared" si="3"/>
        <v/>
      </c>
      <c r="I16" s="188" t="str">
        <f t="shared" si="2"/>
        <v/>
      </c>
    </row>
    <row r="17" spans="1:10">
      <c r="A17">
        <v>14</v>
      </c>
      <c r="B17" s="46">
        <v>45458</v>
      </c>
      <c r="C17" s="166">
        <v>31.127024317171482</v>
      </c>
      <c r="D17" s="166">
        <v>62.145020957620687</v>
      </c>
      <c r="E17" s="166">
        <f t="shared" si="1"/>
        <v>31.127024317171482</v>
      </c>
      <c r="F17" s="188" t="str">
        <f t="shared" si="0"/>
        <v>J</v>
      </c>
      <c r="G17" s="189">
        <f>IF(DAY(B17)=15,D17,"")</f>
        <v>62.145020957620687</v>
      </c>
      <c r="H17" t="str">
        <f t="shared" si="3"/>
        <v/>
      </c>
      <c r="I17" s="188" t="str">
        <f t="shared" si="2"/>
        <v>J</v>
      </c>
      <c r="J17" s="189"/>
    </row>
    <row r="18" spans="1:10">
      <c r="A18">
        <v>15</v>
      </c>
      <c r="B18" s="46">
        <v>45459</v>
      </c>
      <c r="C18" s="166">
        <v>37.974406523165896</v>
      </c>
      <c r="D18" s="166">
        <v>62.145020957620687</v>
      </c>
      <c r="E18" s="166">
        <f t="shared" si="1"/>
        <v>37.974406523165896</v>
      </c>
      <c r="F18" s="188" t="str">
        <f t="shared" si="0"/>
        <v/>
      </c>
      <c r="H18" t="str">
        <f t="shared" si="3"/>
        <v/>
      </c>
      <c r="I18" s="188" t="str">
        <f t="shared" si="2"/>
        <v/>
      </c>
    </row>
    <row r="19" spans="1:10">
      <c r="A19">
        <v>16</v>
      </c>
      <c r="B19" s="46">
        <v>45460</v>
      </c>
      <c r="C19" s="166">
        <v>59.228509084169623</v>
      </c>
      <c r="D19" s="166">
        <v>62.145020957620687</v>
      </c>
      <c r="E19" s="166">
        <f t="shared" si="1"/>
        <v>59.228509084169623</v>
      </c>
      <c r="F19" s="188" t="str">
        <f t="shared" si="0"/>
        <v/>
      </c>
      <c r="H19" t="str">
        <f t="shared" si="3"/>
        <v/>
      </c>
      <c r="I19" s="188" t="str">
        <f t="shared" si="2"/>
        <v/>
      </c>
    </row>
    <row r="20" spans="1:10">
      <c r="A20">
        <v>17</v>
      </c>
      <c r="B20" s="46">
        <v>45461</v>
      </c>
      <c r="C20" s="166">
        <v>81.494912965169632</v>
      </c>
      <c r="D20" s="166">
        <v>62.145020957620687</v>
      </c>
      <c r="E20" s="166">
        <f t="shared" si="1"/>
        <v>62.145020957620687</v>
      </c>
      <c r="F20" s="188" t="str">
        <f t="shared" si="0"/>
        <v/>
      </c>
      <c r="H20" t="str">
        <f t="shared" si="3"/>
        <v/>
      </c>
      <c r="I20" s="188" t="str">
        <f t="shared" si="2"/>
        <v/>
      </c>
    </row>
    <row r="21" spans="1:10">
      <c r="A21">
        <v>18</v>
      </c>
      <c r="B21" s="46">
        <v>45462</v>
      </c>
      <c r="C21" s="166">
        <v>86.923513643855273</v>
      </c>
      <c r="D21" s="166">
        <v>62.145020957620687</v>
      </c>
      <c r="E21" s="166">
        <f t="shared" si="1"/>
        <v>62.145020957620687</v>
      </c>
      <c r="F21" s="188" t="str">
        <f t="shared" si="0"/>
        <v/>
      </c>
      <c r="H21" t="str">
        <f t="shared" si="3"/>
        <v/>
      </c>
      <c r="I21" s="188" t="str">
        <f t="shared" si="2"/>
        <v/>
      </c>
    </row>
    <row r="22" spans="1:10">
      <c r="A22">
        <v>19</v>
      </c>
      <c r="B22" s="46">
        <v>45463</v>
      </c>
      <c r="C22" s="166">
        <v>75.492146505858997</v>
      </c>
      <c r="D22" s="166">
        <v>62.145020957620687</v>
      </c>
      <c r="E22" s="166">
        <f t="shared" si="1"/>
        <v>62.145020957620687</v>
      </c>
      <c r="F22" s="188" t="str">
        <f t="shared" si="0"/>
        <v/>
      </c>
      <c r="H22" t="str">
        <f t="shared" si="3"/>
        <v/>
      </c>
      <c r="I22" s="188" t="str">
        <f t="shared" si="2"/>
        <v/>
      </c>
    </row>
    <row r="23" spans="1:10">
      <c r="A23">
        <v>20</v>
      </c>
      <c r="B23" s="46">
        <v>45464</v>
      </c>
      <c r="C23" s="166">
        <v>73.267400409853408</v>
      </c>
      <c r="D23" s="166">
        <v>62.145020957620687</v>
      </c>
      <c r="E23" s="166">
        <f t="shared" si="1"/>
        <v>62.145020957620687</v>
      </c>
      <c r="F23" s="188" t="str">
        <f t="shared" si="0"/>
        <v/>
      </c>
      <c r="H23" t="str">
        <f t="shared" si="3"/>
        <v/>
      </c>
      <c r="I23" s="188" t="str">
        <f t="shared" si="2"/>
        <v/>
      </c>
    </row>
    <row r="24" spans="1:10">
      <c r="A24">
        <v>21</v>
      </c>
      <c r="B24" s="46">
        <v>45465</v>
      </c>
      <c r="C24" s="166">
        <v>49.069099326860858</v>
      </c>
      <c r="D24" s="166">
        <v>62.145020957620687</v>
      </c>
      <c r="E24" s="166">
        <f t="shared" si="1"/>
        <v>49.069099326860858</v>
      </c>
      <c r="F24" s="188" t="str">
        <f t="shared" si="0"/>
        <v/>
      </c>
      <c r="H24" t="str">
        <f t="shared" si="3"/>
        <v/>
      </c>
      <c r="I24" s="188" t="str">
        <f t="shared" si="2"/>
        <v/>
      </c>
    </row>
    <row r="25" spans="1:10">
      <c r="A25">
        <v>22</v>
      </c>
      <c r="B25" s="46">
        <v>45466</v>
      </c>
      <c r="C25" s="166">
        <v>35.045765844855275</v>
      </c>
      <c r="D25" s="166">
        <v>62.145020957620687</v>
      </c>
      <c r="E25" s="166">
        <f t="shared" si="1"/>
        <v>35.045765844855275</v>
      </c>
      <c r="F25" s="188" t="str">
        <f t="shared" si="0"/>
        <v/>
      </c>
      <c r="H25" t="str">
        <f t="shared" si="3"/>
        <v/>
      </c>
      <c r="I25" s="188" t="str">
        <f t="shared" si="2"/>
        <v/>
      </c>
    </row>
    <row r="26" spans="1:10">
      <c r="A26">
        <v>23</v>
      </c>
      <c r="B26" s="46">
        <v>45467</v>
      </c>
      <c r="C26" s="166">
        <v>54.089537297859003</v>
      </c>
      <c r="D26" s="166">
        <v>62.145020957620687</v>
      </c>
      <c r="E26" s="166">
        <f t="shared" si="1"/>
        <v>54.089537297859003</v>
      </c>
      <c r="F26" s="188" t="str">
        <f t="shared" si="0"/>
        <v/>
      </c>
      <c r="H26" t="str">
        <f t="shared" si="3"/>
        <v/>
      </c>
      <c r="I26" s="188" t="str">
        <f t="shared" si="2"/>
        <v/>
      </c>
    </row>
    <row r="27" spans="1:10">
      <c r="A27">
        <v>24</v>
      </c>
      <c r="B27" s="46">
        <v>45468</v>
      </c>
      <c r="C27" s="166">
        <v>69.452281835855274</v>
      </c>
      <c r="D27" s="166">
        <v>62.145020957620687</v>
      </c>
      <c r="E27" s="166">
        <f t="shared" si="1"/>
        <v>62.145020957620687</v>
      </c>
      <c r="F27" s="188" t="str">
        <f t="shared" si="0"/>
        <v/>
      </c>
      <c r="H27" t="str">
        <f t="shared" si="3"/>
        <v/>
      </c>
      <c r="I27" s="188" t="str">
        <f t="shared" si="2"/>
        <v/>
      </c>
    </row>
    <row r="28" spans="1:10">
      <c r="A28">
        <v>25</v>
      </c>
      <c r="B28" s="46">
        <v>45469</v>
      </c>
      <c r="C28" s="166">
        <v>62.754375802933225</v>
      </c>
      <c r="D28" s="166">
        <v>62.145020957620687</v>
      </c>
      <c r="E28" s="166">
        <f t="shared" si="1"/>
        <v>62.145020957620687</v>
      </c>
      <c r="F28" s="188" t="str">
        <f t="shared" si="0"/>
        <v/>
      </c>
      <c r="H28" t="str">
        <f t="shared" si="3"/>
        <v/>
      </c>
      <c r="I28" s="188" t="str">
        <f t="shared" si="2"/>
        <v/>
      </c>
    </row>
    <row r="29" spans="1:10">
      <c r="A29">
        <v>26</v>
      </c>
      <c r="B29" s="46">
        <v>45470</v>
      </c>
      <c r="C29" s="166">
        <v>58.297634420935076</v>
      </c>
      <c r="D29" s="166">
        <v>62.145020957620687</v>
      </c>
      <c r="E29" s="166">
        <f t="shared" si="1"/>
        <v>58.297634420935076</v>
      </c>
      <c r="F29" s="188" t="str">
        <f t="shared" si="0"/>
        <v/>
      </c>
      <c r="H29" t="str">
        <f t="shared" si="3"/>
        <v/>
      </c>
      <c r="I29" s="188" t="str">
        <f t="shared" si="2"/>
        <v/>
      </c>
    </row>
    <row r="30" spans="1:10">
      <c r="A30">
        <v>27</v>
      </c>
      <c r="B30" s="46">
        <v>45471</v>
      </c>
      <c r="C30" s="166">
        <v>52.009208182935076</v>
      </c>
      <c r="D30" s="166">
        <v>62.145020957620687</v>
      </c>
      <c r="E30" s="166">
        <f t="shared" si="1"/>
        <v>52.009208182935076</v>
      </c>
      <c r="F30" s="188" t="str">
        <f t="shared" si="0"/>
        <v/>
      </c>
      <c r="H30" t="str">
        <f t="shared" si="3"/>
        <v/>
      </c>
      <c r="I30" s="188" t="str">
        <f t="shared" si="2"/>
        <v/>
      </c>
    </row>
    <row r="31" spans="1:10">
      <c r="A31">
        <v>28</v>
      </c>
      <c r="B31" s="46">
        <v>45472</v>
      </c>
      <c r="C31" s="166">
        <v>34.695431029936955</v>
      </c>
      <c r="D31" s="166">
        <v>62.145020957620687</v>
      </c>
      <c r="E31" s="166">
        <f t="shared" si="1"/>
        <v>34.695431029936955</v>
      </c>
      <c r="F31" s="188" t="str">
        <f t="shared" si="0"/>
        <v/>
      </c>
      <c r="H31" t="str">
        <f t="shared" si="3"/>
        <v/>
      </c>
      <c r="I31" s="188" t="str">
        <f t="shared" si="2"/>
        <v/>
      </c>
    </row>
    <row r="32" spans="1:10">
      <c r="A32">
        <v>29</v>
      </c>
      <c r="B32" s="46">
        <v>45473</v>
      </c>
      <c r="C32" s="166">
        <v>31.637069029933219</v>
      </c>
      <c r="D32" s="166">
        <v>62.145020957620687</v>
      </c>
      <c r="E32" s="166">
        <f t="shared" si="1"/>
        <v>31.637069029933219</v>
      </c>
      <c r="F32" s="188" t="str">
        <f t="shared" si="0"/>
        <v/>
      </c>
      <c r="H32" t="str">
        <f t="shared" si="3"/>
        <v/>
      </c>
      <c r="I32" s="188" t="str">
        <f t="shared" si="2"/>
        <v/>
      </c>
    </row>
    <row r="33" spans="1:9">
      <c r="A33">
        <v>30</v>
      </c>
      <c r="B33" s="46">
        <v>45474</v>
      </c>
      <c r="C33" s="166">
        <v>21.495916996933222</v>
      </c>
      <c r="D33" s="166">
        <v>25.910326049029329</v>
      </c>
      <c r="E33" s="166">
        <f t="shared" si="1"/>
        <v>21.495916996933222</v>
      </c>
      <c r="F33" s="188" t="str">
        <f t="shared" si="0"/>
        <v/>
      </c>
      <c r="H33" t="str">
        <f t="shared" si="3"/>
        <v/>
      </c>
      <c r="I33" s="188" t="str">
        <f t="shared" si="2"/>
        <v/>
      </c>
    </row>
    <row r="34" spans="1:9">
      <c r="A34">
        <v>31</v>
      </c>
      <c r="B34" s="46">
        <v>45475</v>
      </c>
      <c r="C34" s="166">
        <v>34.492029538935078</v>
      </c>
      <c r="D34" s="166">
        <v>25.910326049029329</v>
      </c>
      <c r="E34" s="166">
        <f t="shared" si="1"/>
        <v>25.910326049029329</v>
      </c>
      <c r="F34" s="188" t="str">
        <f t="shared" si="0"/>
        <v/>
      </c>
      <c r="H34" t="str">
        <f t="shared" si="3"/>
        <v/>
      </c>
      <c r="I34" s="188" t="str">
        <f t="shared" si="2"/>
        <v/>
      </c>
    </row>
    <row r="35" spans="1:9">
      <c r="A35">
        <v>32</v>
      </c>
      <c r="B35" s="46">
        <v>45476</v>
      </c>
      <c r="C35" s="166">
        <v>52.16376323260716</v>
      </c>
      <c r="D35" s="166">
        <v>25.910326049029329</v>
      </c>
      <c r="E35" s="166">
        <f t="shared" si="1"/>
        <v>25.910326049029329</v>
      </c>
      <c r="F35" s="188" t="str">
        <f t="shared" si="0"/>
        <v/>
      </c>
      <c r="H35" t="str">
        <f t="shared" si="3"/>
        <v/>
      </c>
      <c r="I35" s="188" t="str">
        <f t="shared" si="2"/>
        <v/>
      </c>
    </row>
    <row r="36" spans="1:9">
      <c r="A36">
        <v>33</v>
      </c>
      <c r="B36" s="46">
        <v>45477</v>
      </c>
      <c r="C36" s="166">
        <v>44.163039307609026</v>
      </c>
      <c r="D36" s="166">
        <v>25.910326049029329</v>
      </c>
      <c r="E36" s="166">
        <f t="shared" si="1"/>
        <v>25.910326049029329</v>
      </c>
      <c r="F36" s="188" t="str">
        <f t="shared" si="0"/>
        <v/>
      </c>
      <c r="H36" t="str">
        <f t="shared" si="3"/>
        <v/>
      </c>
      <c r="I36" s="188" t="str">
        <f t="shared" si="2"/>
        <v/>
      </c>
    </row>
    <row r="37" spans="1:9">
      <c r="A37">
        <v>34</v>
      </c>
      <c r="B37" s="46">
        <v>45478</v>
      </c>
      <c r="C37" s="166">
        <v>45.345475433607163</v>
      </c>
      <c r="D37" s="166">
        <v>25.910326049029329</v>
      </c>
      <c r="E37" s="166">
        <f t="shared" si="1"/>
        <v>25.910326049029329</v>
      </c>
      <c r="F37" s="188" t="str">
        <f t="shared" si="0"/>
        <v/>
      </c>
      <c r="H37" t="str">
        <f t="shared" si="3"/>
        <v/>
      </c>
      <c r="I37" s="188" t="str">
        <f t="shared" si="2"/>
        <v/>
      </c>
    </row>
    <row r="38" spans="1:9">
      <c r="A38">
        <v>35</v>
      </c>
      <c r="B38" s="46">
        <v>45479</v>
      </c>
      <c r="C38" s="166">
        <v>15.12081097160717</v>
      </c>
      <c r="D38" s="166">
        <v>25.910326049029329</v>
      </c>
      <c r="E38" s="166">
        <f t="shared" si="1"/>
        <v>15.12081097160717</v>
      </c>
      <c r="F38" s="188" t="str">
        <f t="shared" si="0"/>
        <v/>
      </c>
      <c r="H38" t="str">
        <f t="shared" si="3"/>
        <v/>
      </c>
      <c r="I38" s="188" t="str">
        <f t="shared" si="2"/>
        <v/>
      </c>
    </row>
    <row r="39" spans="1:9">
      <c r="A39">
        <v>36</v>
      </c>
      <c r="B39" s="46">
        <v>45480</v>
      </c>
      <c r="C39" s="166">
        <v>19.39214861760717</v>
      </c>
      <c r="D39" s="166">
        <v>25.910326049029329</v>
      </c>
      <c r="E39" s="166">
        <f t="shared" si="1"/>
        <v>19.39214861760717</v>
      </c>
      <c r="F39" s="188" t="str">
        <f t="shared" si="0"/>
        <v/>
      </c>
      <c r="H39" t="str">
        <f t="shared" si="3"/>
        <v/>
      </c>
      <c r="I39" s="188" t="str">
        <f t="shared" si="2"/>
        <v/>
      </c>
    </row>
    <row r="40" spans="1:9">
      <c r="A40">
        <v>37</v>
      </c>
      <c r="B40" s="46">
        <v>45481</v>
      </c>
      <c r="C40" s="166">
        <v>35.733574139609033</v>
      </c>
      <c r="D40" s="166">
        <v>25.910326049029329</v>
      </c>
      <c r="E40" s="166">
        <f t="shared" si="1"/>
        <v>25.910326049029329</v>
      </c>
      <c r="F40" s="188" t="str">
        <f t="shared" si="0"/>
        <v/>
      </c>
      <c r="H40" t="str">
        <f t="shared" si="3"/>
        <v/>
      </c>
      <c r="I40" s="188" t="str">
        <f t="shared" si="2"/>
        <v/>
      </c>
    </row>
    <row r="41" spans="1:9">
      <c r="A41">
        <v>38</v>
      </c>
      <c r="B41" s="46">
        <v>45482</v>
      </c>
      <c r="C41" s="166">
        <v>42.921010012607162</v>
      </c>
      <c r="D41" s="166">
        <v>25.910326049029329</v>
      </c>
      <c r="E41" s="166">
        <f t="shared" si="1"/>
        <v>25.910326049029329</v>
      </c>
      <c r="F41" s="188" t="str">
        <f t="shared" si="0"/>
        <v/>
      </c>
      <c r="H41" t="str">
        <f t="shared" si="3"/>
        <v/>
      </c>
      <c r="I41" s="188" t="str">
        <f t="shared" si="2"/>
        <v/>
      </c>
    </row>
    <row r="42" spans="1:9">
      <c r="A42">
        <v>39</v>
      </c>
      <c r="B42" s="46">
        <v>45483</v>
      </c>
      <c r="C42" s="166">
        <v>42.444933230845052</v>
      </c>
      <c r="D42" s="166">
        <v>25.910326049029329</v>
      </c>
      <c r="E42" s="166">
        <f t="shared" si="1"/>
        <v>25.910326049029329</v>
      </c>
      <c r="F42" s="188" t="str">
        <f t="shared" si="0"/>
        <v/>
      </c>
      <c r="H42" t="str">
        <f t="shared" si="3"/>
        <v/>
      </c>
      <c r="I42" s="188" t="str">
        <f t="shared" si="2"/>
        <v/>
      </c>
    </row>
    <row r="43" spans="1:9">
      <c r="A43">
        <v>40</v>
      </c>
      <c r="B43" s="46">
        <v>45484</v>
      </c>
      <c r="C43" s="166">
        <v>42.768076100841327</v>
      </c>
      <c r="D43" s="166">
        <v>25.910326049029329</v>
      </c>
      <c r="E43" s="166">
        <f t="shared" si="1"/>
        <v>25.910326049029329</v>
      </c>
      <c r="F43" s="188" t="str">
        <f t="shared" si="0"/>
        <v/>
      </c>
      <c r="H43" t="str">
        <f t="shared" si="3"/>
        <v/>
      </c>
      <c r="I43" s="188" t="str">
        <f t="shared" si="2"/>
        <v/>
      </c>
    </row>
    <row r="44" spans="1:9">
      <c r="A44">
        <v>41</v>
      </c>
      <c r="B44" s="46">
        <v>45485</v>
      </c>
      <c r="C44" s="166">
        <v>27.577513094843191</v>
      </c>
      <c r="D44" s="166">
        <v>25.910326049029329</v>
      </c>
      <c r="E44" s="166">
        <f t="shared" si="1"/>
        <v>25.910326049029329</v>
      </c>
      <c r="F44" s="188" t="str">
        <f t="shared" si="0"/>
        <v/>
      </c>
      <c r="H44" t="str">
        <f t="shared" si="3"/>
        <v/>
      </c>
      <c r="I44" s="188" t="str">
        <f t="shared" si="2"/>
        <v/>
      </c>
    </row>
    <row r="45" spans="1:9">
      <c r="A45">
        <v>42</v>
      </c>
      <c r="B45" s="46">
        <v>45486</v>
      </c>
      <c r="C45" s="166">
        <v>13.606924256841332</v>
      </c>
      <c r="D45" s="166">
        <v>25.910326049029329</v>
      </c>
      <c r="E45" s="166">
        <f t="shared" si="1"/>
        <v>13.606924256841332</v>
      </c>
      <c r="F45" s="188" t="str">
        <f t="shared" ref="F45" si="4">IF(DAY(B45)=15,IF(MONTH(B45)=1,"E",IF(MONTH(B45)=2,"F",IF(MONTH(B45)=3,"M",IF(MONTH(B45)=4,"A",IF(MONTH(B45)=5,"M",IF(MONTH(B45)=6,"J",IF(MONTH(B45)=7,"J",IF(MONTH(B45)=8,"A",IF(MONTH(B45)=9,"S",IF(MONTH(B45)=10,"O",IF(MONTH(B45)=11,"N",IF(MONTH(B45)=12,"D","")))))))))))),"")</f>
        <v/>
      </c>
      <c r="H45" t="str">
        <f t="shared" si="3"/>
        <v/>
      </c>
      <c r="I45" s="188" t="str">
        <f t="shared" si="2"/>
        <v/>
      </c>
    </row>
    <row r="46" spans="1:9">
      <c r="A46">
        <v>43</v>
      </c>
      <c r="B46" s="46">
        <v>45487</v>
      </c>
      <c r="C46" s="166">
        <v>5.4347649878450541</v>
      </c>
      <c r="D46" s="166">
        <v>25.910326049029329</v>
      </c>
      <c r="E46" s="166">
        <f t="shared" si="1"/>
        <v>5.4347649878450541</v>
      </c>
      <c r="F46" s="188" t="str">
        <f t="shared" si="0"/>
        <v/>
      </c>
      <c r="H46" t="str">
        <f t="shared" si="3"/>
        <v/>
      </c>
      <c r="I46" s="188" t="str">
        <f t="shared" si="2"/>
        <v/>
      </c>
    </row>
    <row r="47" spans="1:9">
      <c r="A47">
        <v>44</v>
      </c>
      <c r="B47" s="46">
        <v>45488</v>
      </c>
      <c r="C47" s="166">
        <v>11.368316333841328</v>
      </c>
      <c r="D47" s="166">
        <v>25.910326049029329</v>
      </c>
      <c r="E47" s="166">
        <f t="shared" si="1"/>
        <v>11.368316333841328</v>
      </c>
      <c r="F47" s="188" t="str">
        <f t="shared" ref="F47" si="5"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>J</v>
      </c>
      <c r="H47" t="str">
        <f t="shared" si="3"/>
        <v/>
      </c>
      <c r="I47" s="188" t="str">
        <f t="shared" si="2"/>
        <v>J</v>
      </c>
    </row>
    <row r="48" spans="1:9">
      <c r="A48">
        <v>45</v>
      </c>
      <c r="B48" s="46">
        <v>45489</v>
      </c>
      <c r="C48" s="166">
        <v>34.957289322846918</v>
      </c>
      <c r="D48" s="166">
        <v>25.910326049029329</v>
      </c>
      <c r="E48" s="166">
        <f t="shared" si="1"/>
        <v>25.910326049029329</v>
      </c>
      <c r="F48" s="188" t="str">
        <f t="shared" ref="F48" si="6"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/>
      </c>
      <c r="G48" s="189" t="str">
        <f>IF(DAY(B48)=15,D48,"")</f>
        <v/>
      </c>
      <c r="H48" t="str">
        <f t="shared" si="3"/>
        <v/>
      </c>
      <c r="I48" s="188" t="str">
        <f t="shared" si="2"/>
        <v/>
      </c>
    </row>
    <row r="49" spans="1:9">
      <c r="A49">
        <v>46</v>
      </c>
      <c r="B49" s="46">
        <v>45490</v>
      </c>
      <c r="C49" s="166">
        <v>27.107350574998883</v>
      </c>
      <c r="D49" s="166">
        <v>25.910326049029329</v>
      </c>
      <c r="E49" s="166">
        <f t="shared" si="1"/>
        <v>25.910326049029329</v>
      </c>
      <c r="F49" s="188" t="str">
        <f t="shared" si="0"/>
        <v/>
      </c>
      <c r="H49" t="str">
        <f t="shared" si="3"/>
        <v/>
      </c>
      <c r="I49" s="188" t="str">
        <f t="shared" si="2"/>
        <v/>
      </c>
    </row>
    <row r="50" spans="1:9">
      <c r="A50">
        <v>47</v>
      </c>
      <c r="B50" s="46">
        <v>45491</v>
      </c>
      <c r="C50" s="166">
        <v>47.384967555000735</v>
      </c>
      <c r="D50" s="166">
        <v>25.910326049029329</v>
      </c>
      <c r="E50" s="166">
        <f t="shared" si="1"/>
        <v>25.910326049029329</v>
      </c>
      <c r="F50" s="188" t="str">
        <f t="shared" si="0"/>
        <v/>
      </c>
      <c r="H50" t="str">
        <f t="shared" si="3"/>
        <v/>
      </c>
      <c r="I50" s="188" t="str">
        <f t="shared" si="2"/>
        <v/>
      </c>
    </row>
    <row r="51" spans="1:9">
      <c r="A51">
        <v>48</v>
      </c>
      <c r="B51" s="46">
        <v>45492</v>
      </c>
      <c r="C51" s="166">
        <v>32.610105791002596</v>
      </c>
      <c r="D51" s="166">
        <v>25.910326049029329</v>
      </c>
      <c r="E51" s="166">
        <f t="shared" si="1"/>
        <v>25.910326049029329</v>
      </c>
      <c r="F51" s="188" t="str">
        <f t="shared" si="0"/>
        <v/>
      </c>
      <c r="H51" t="str">
        <f t="shared" si="3"/>
        <v/>
      </c>
      <c r="I51" s="188" t="str">
        <f t="shared" si="2"/>
        <v/>
      </c>
    </row>
    <row r="52" spans="1:9">
      <c r="A52">
        <v>49</v>
      </c>
      <c r="B52" s="46">
        <v>45493</v>
      </c>
      <c r="C52" s="166">
        <v>2.8838368070007419</v>
      </c>
      <c r="D52" s="166">
        <v>25.910326049029329</v>
      </c>
      <c r="E52" s="166">
        <f t="shared" si="1"/>
        <v>2.8838368070007419</v>
      </c>
      <c r="F52" s="188" t="str">
        <f t="shared" si="0"/>
        <v/>
      </c>
      <c r="H52" t="str">
        <f t="shared" si="3"/>
        <v/>
      </c>
      <c r="I52" s="188" t="str">
        <f t="shared" si="2"/>
        <v/>
      </c>
    </row>
    <row r="53" spans="1:9">
      <c r="A53">
        <v>50</v>
      </c>
      <c r="B53" s="46">
        <v>45494</v>
      </c>
      <c r="C53" s="166">
        <v>2.773625599002604</v>
      </c>
      <c r="D53" s="166">
        <v>25.910326049029329</v>
      </c>
      <c r="E53" s="166">
        <f t="shared" si="1"/>
        <v>2.773625599002604</v>
      </c>
      <c r="F53" s="188" t="str">
        <f t="shared" si="0"/>
        <v/>
      </c>
      <c r="H53" t="str">
        <f t="shared" si="3"/>
        <v/>
      </c>
      <c r="I53" s="188" t="str">
        <f t="shared" si="2"/>
        <v/>
      </c>
    </row>
    <row r="54" spans="1:9">
      <c r="A54">
        <v>51</v>
      </c>
      <c r="B54" s="46">
        <v>45495</v>
      </c>
      <c r="C54" s="166">
        <v>2.6918520630007405</v>
      </c>
      <c r="D54" s="166">
        <v>25.910326049029329</v>
      </c>
      <c r="E54" s="166">
        <f t="shared" si="1"/>
        <v>2.6918520630007405</v>
      </c>
      <c r="F54" s="188" t="str">
        <f t="shared" si="0"/>
        <v/>
      </c>
      <c r="H54" t="str">
        <f t="shared" si="3"/>
        <v/>
      </c>
      <c r="I54" s="188" t="str">
        <f t="shared" si="2"/>
        <v/>
      </c>
    </row>
    <row r="55" spans="1:9">
      <c r="A55">
        <v>52</v>
      </c>
      <c r="B55" s="46">
        <v>45496</v>
      </c>
      <c r="C55" s="166">
        <v>4.8173808750007447</v>
      </c>
      <c r="D55" s="166">
        <v>25.910326049029329</v>
      </c>
      <c r="E55" s="166">
        <f t="shared" si="1"/>
        <v>4.8173808750007447</v>
      </c>
      <c r="F55" s="188" t="str">
        <f t="shared" si="0"/>
        <v/>
      </c>
      <c r="H55" t="str">
        <f t="shared" si="3"/>
        <v/>
      </c>
      <c r="I55" s="188" t="str">
        <f t="shared" si="2"/>
        <v/>
      </c>
    </row>
    <row r="56" spans="1:9">
      <c r="A56">
        <v>53</v>
      </c>
      <c r="B56" s="46">
        <v>45497</v>
      </c>
      <c r="C56" s="166">
        <v>28.556996525535084</v>
      </c>
      <c r="D56" s="166">
        <v>25.910326049029329</v>
      </c>
      <c r="E56" s="166">
        <f t="shared" si="1"/>
        <v>25.910326049029329</v>
      </c>
      <c r="F56" s="188" t="str">
        <f t="shared" si="0"/>
        <v/>
      </c>
      <c r="H56" t="str">
        <f t="shared" si="3"/>
        <v/>
      </c>
      <c r="I56" s="188" t="str">
        <f t="shared" si="2"/>
        <v/>
      </c>
    </row>
    <row r="57" spans="1:9">
      <c r="A57">
        <v>54</v>
      </c>
      <c r="B57" s="46">
        <v>45498</v>
      </c>
      <c r="C57" s="166">
        <v>14.895582087538802</v>
      </c>
      <c r="D57" s="166">
        <v>25.910326049029329</v>
      </c>
      <c r="E57" s="166">
        <f t="shared" si="1"/>
        <v>14.895582087538802</v>
      </c>
      <c r="F57" s="188" t="str">
        <f t="shared" si="0"/>
        <v/>
      </c>
      <c r="H57" t="str">
        <f t="shared" si="3"/>
        <v/>
      </c>
      <c r="I57" s="188" t="str">
        <f t="shared" si="2"/>
        <v/>
      </c>
    </row>
    <row r="58" spans="1:9">
      <c r="A58">
        <v>55</v>
      </c>
      <c r="B58" s="46">
        <v>45499</v>
      </c>
      <c r="C58" s="166">
        <v>13.942140612535077</v>
      </c>
      <c r="D58" s="166">
        <v>25.910326049029329</v>
      </c>
      <c r="E58" s="166">
        <f t="shared" si="1"/>
        <v>13.942140612535077</v>
      </c>
      <c r="F58" s="188" t="str">
        <f t="shared" si="0"/>
        <v/>
      </c>
      <c r="H58" t="str">
        <f t="shared" si="3"/>
        <v/>
      </c>
      <c r="I58" s="188" t="str">
        <f t="shared" si="2"/>
        <v/>
      </c>
    </row>
    <row r="59" spans="1:9">
      <c r="A59">
        <v>56</v>
      </c>
      <c r="B59" s="46">
        <v>45500</v>
      </c>
      <c r="C59" s="166">
        <v>8.5909319685369407</v>
      </c>
      <c r="D59" s="166">
        <v>25.910326049029329</v>
      </c>
      <c r="E59" s="166">
        <f t="shared" si="1"/>
        <v>8.5909319685369407</v>
      </c>
      <c r="F59" s="188" t="str">
        <f t="shared" si="0"/>
        <v/>
      </c>
      <c r="H59" t="str">
        <f t="shared" si="3"/>
        <v/>
      </c>
      <c r="I59" s="188" t="str">
        <f t="shared" si="2"/>
        <v/>
      </c>
    </row>
    <row r="60" spans="1:9">
      <c r="A60">
        <v>57</v>
      </c>
      <c r="B60" s="46">
        <v>45501</v>
      </c>
      <c r="C60" s="166">
        <v>2.8758978345369397</v>
      </c>
      <c r="D60" s="166">
        <v>25.910326049029329</v>
      </c>
      <c r="E60" s="166">
        <f t="shared" si="1"/>
        <v>2.8758978345369397</v>
      </c>
      <c r="F60" s="188" t="str">
        <f t="shared" si="0"/>
        <v/>
      </c>
      <c r="H60" t="str">
        <f t="shared" si="3"/>
        <v/>
      </c>
      <c r="I60" s="188" t="str">
        <f t="shared" si="2"/>
        <v/>
      </c>
    </row>
    <row r="61" spans="1:9">
      <c r="A61">
        <v>58</v>
      </c>
      <c r="B61" s="46">
        <v>45502</v>
      </c>
      <c r="C61" s="166">
        <v>19.15130785353508</v>
      </c>
      <c r="D61" s="166">
        <v>25.910326049029329</v>
      </c>
      <c r="E61" s="166">
        <f t="shared" si="1"/>
        <v>19.15130785353508</v>
      </c>
      <c r="F61" s="188" t="str">
        <f t="shared" si="0"/>
        <v/>
      </c>
      <c r="H61" t="str">
        <f t="shared" si="3"/>
        <v/>
      </c>
      <c r="I61" s="188" t="str">
        <f t="shared" si="2"/>
        <v/>
      </c>
    </row>
    <row r="62" spans="1:9">
      <c r="A62">
        <v>59</v>
      </c>
      <c r="B62" s="46">
        <v>45503</v>
      </c>
      <c r="C62" s="166">
        <v>16.346622300538801</v>
      </c>
      <c r="D62" s="166">
        <v>25.910326049029329</v>
      </c>
      <c r="E62" s="166">
        <f t="shared" si="1"/>
        <v>16.346622300538801</v>
      </c>
      <c r="F62" s="188" t="str">
        <f t="shared" si="0"/>
        <v/>
      </c>
      <c r="H62" t="str">
        <f t="shared" si="3"/>
        <v/>
      </c>
      <c r="I62" s="188" t="str">
        <f t="shared" si="2"/>
        <v/>
      </c>
    </row>
    <row r="63" spans="1:9">
      <c r="A63">
        <v>60</v>
      </c>
      <c r="B63" s="46">
        <v>45504</v>
      </c>
      <c r="C63" s="166">
        <v>24.35939520223344</v>
      </c>
      <c r="D63" s="166">
        <v>25.910326049029329</v>
      </c>
      <c r="E63" s="166">
        <f t="shared" si="1"/>
        <v>24.35939520223344</v>
      </c>
      <c r="F63" s="188" t="str">
        <f t="shared" si="0"/>
        <v/>
      </c>
      <c r="H63" t="str">
        <f t="shared" si="3"/>
        <v/>
      </c>
      <c r="I63" s="188" t="str">
        <f t="shared" si="2"/>
        <v/>
      </c>
    </row>
    <row r="64" spans="1:9">
      <c r="A64">
        <v>61</v>
      </c>
      <c r="B64" s="46">
        <v>45505</v>
      </c>
      <c r="C64" s="166">
        <v>3.2914033582334379</v>
      </c>
      <c r="D64" s="166">
        <v>15.363630405709555</v>
      </c>
      <c r="E64" s="166">
        <f t="shared" si="1"/>
        <v>3.2914033582334379</v>
      </c>
      <c r="F64" s="188" t="str">
        <f t="shared" si="0"/>
        <v/>
      </c>
      <c r="H64" t="str">
        <f t="shared" si="3"/>
        <v/>
      </c>
      <c r="I64" s="188" t="str">
        <f t="shared" si="2"/>
        <v/>
      </c>
    </row>
    <row r="65" spans="1:9">
      <c r="A65">
        <v>62</v>
      </c>
      <c r="B65" s="46">
        <v>45506</v>
      </c>
      <c r="C65" s="166">
        <v>1.8560847702352985</v>
      </c>
      <c r="D65" s="166">
        <v>15.363630405709555</v>
      </c>
      <c r="E65" s="166">
        <f t="shared" si="1"/>
        <v>1.8560847702352985</v>
      </c>
      <c r="F65" s="188" t="str">
        <f t="shared" si="0"/>
        <v/>
      </c>
      <c r="H65" t="str">
        <f t="shared" si="3"/>
        <v/>
      </c>
      <c r="I65" s="188" t="str">
        <f t="shared" si="2"/>
        <v/>
      </c>
    </row>
    <row r="66" spans="1:9">
      <c r="A66">
        <v>63</v>
      </c>
      <c r="B66" s="46">
        <v>45507</v>
      </c>
      <c r="C66" s="166">
        <v>3.1090699312334329</v>
      </c>
      <c r="D66" s="166">
        <v>15.363630405709555</v>
      </c>
      <c r="E66" s="166">
        <f t="shared" si="1"/>
        <v>3.1090699312334329</v>
      </c>
      <c r="F66" s="188" t="str">
        <f t="shared" si="0"/>
        <v/>
      </c>
      <c r="H66" t="str">
        <f t="shared" si="3"/>
        <v/>
      </c>
      <c r="I66" s="188" t="str">
        <f t="shared" si="2"/>
        <v/>
      </c>
    </row>
    <row r="67" spans="1:9">
      <c r="A67">
        <v>64</v>
      </c>
      <c r="B67" s="46">
        <v>45508</v>
      </c>
      <c r="C67" s="166">
        <v>2.4807760832334314</v>
      </c>
      <c r="D67" s="166">
        <v>15.363630405709555</v>
      </c>
      <c r="E67" s="166">
        <f t="shared" si="1"/>
        <v>2.4807760832334314</v>
      </c>
      <c r="F67" s="188" t="str">
        <f t="shared" ref="F67:F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t="str">
        <f t="shared" si="3"/>
        <v/>
      </c>
      <c r="I67" s="188" t="str">
        <f t="shared" si="2"/>
        <v/>
      </c>
    </row>
    <row r="68" spans="1:9">
      <c r="A68">
        <v>65</v>
      </c>
      <c r="B68" s="46">
        <v>45509</v>
      </c>
      <c r="C68" s="166">
        <v>3.27927523323716</v>
      </c>
      <c r="D68" s="166">
        <v>15.363630405709555</v>
      </c>
      <c r="E68" s="166">
        <f t="shared" ref="E68:E131" si="8">IF(C68&lt;D68,C68,D68)</f>
        <v>3.27927523323716</v>
      </c>
      <c r="F68" s="188" t="str">
        <f t="shared" si="7"/>
        <v/>
      </c>
      <c r="H68" t="str">
        <f t="shared" si="3"/>
        <v/>
      </c>
      <c r="I68" s="188" t="str">
        <f t="shared" ref="I68:I131" si="9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9">
      <c r="A69">
        <v>66</v>
      </c>
      <c r="B69" s="46">
        <v>45510</v>
      </c>
      <c r="C69" s="166">
        <v>3.0810359062334318</v>
      </c>
      <c r="D69" s="166">
        <v>15.363630405709555</v>
      </c>
      <c r="E69" s="166">
        <f t="shared" si="8"/>
        <v>3.0810359062334318</v>
      </c>
      <c r="F69" s="188" t="str">
        <f t="shared" si="7"/>
        <v/>
      </c>
      <c r="H69" t="str">
        <f t="shared" ref="H69:H132" si="10">IF(MONTH(B69)=1,IF(DAY(B69)=1,YEAR(B69),""),"")</f>
        <v/>
      </c>
      <c r="I69" s="188" t="str">
        <f t="shared" si="9"/>
        <v/>
      </c>
    </row>
    <row r="70" spans="1:9">
      <c r="A70">
        <v>67</v>
      </c>
      <c r="B70" s="46">
        <v>45511</v>
      </c>
      <c r="C70" s="166">
        <v>3.19426276293696</v>
      </c>
      <c r="D70" s="166">
        <v>15.363630405709555</v>
      </c>
      <c r="E70" s="166">
        <f t="shared" si="8"/>
        <v>3.19426276293696</v>
      </c>
      <c r="F70" s="188" t="str">
        <f t="shared" si="7"/>
        <v/>
      </c>
      <c r="H70" t="str">
        <f t="shared" si="10"/>
        <v/>
      </c>
      <c r="I70" s="188" t="str">
        <f t="shared" si="9"/>
        <v/>
      </c>
    </row>
    <row r="71" spans="1:9">
      <c r="A71">
        <v>68</v>
      </c>
      <c r="B71" s="46">
        <v>45512</v>
      </c>
      <c r="C71" s="166">
        <v>3.3697791099406897</v>
      </c>
      <c r="D71" s="166">
        <v>15.363630405709555</v>
      </c>
      <c r="E71" s="166">
        <f t="shared" si="8"/>
        <v>3.3697791099406897</v>
      </c>
      <c r="F71" s="188" t="str">
        <f t="shared" si="7"/>
        <v/>
      </c>
      <c r="H71" t="str">
        <f t="shared" si="10"/>
        <v/>
      </c>
      <c r="I71" s="188" t="str">
        <f t="shared" si="9"/>
        <v/>
      </c>
    </row>
    <row r="72" spans="1:9">
      <c r="A72">
        <v>69</v>
      </c>
      <c r="B72" s="46">
        <v>45513</v>
      </c>
      <c r="C72" s="166">
        <v>3.9030743759388278</v>
      </c>
      <c r="D72" s="166">
        <v>15.363630405709555</v>
      </c>
      <c r="E72" s="166">
        <f t="shared" si="8"/>
        <v>3.9030743759388278</v>
      </c>
      <c r="F72" s="188" t="str">
        <f t="shared" si="7"/>
        <v/>
      </c>
      <c r="H72" t="str">
        <f t="shared" si="10"/>
        <v/>
      </c>
      <c r="I72" s="188" t="str">
        <f t="shared" si="9"/>
        <v/>
      </c>
    </row>
    <row r="73" spans="1:9">
      <c r="A73">
        <v>70</v>
      </c>
      <c r="B73" s="46">
        <v>45514</v>
      </c>
      <c r="C73" s="166">
        <v>2.8245451479388213</v>
      </c>
      <c r="D73" s="166">
        <v>15.363630405709555</v>
      </c>
      <c r="E73" s="166">
        <f t="shared" si="8"/>
        <v>2.8245451479388213</v>
      </c>
      <c r="F73" s="188" t="str">
        <f t="shared" si="7"/>
        <v/>
      </c>
      <c r="H73" t="str">
        <f t="shared" si="10"/>
        <v/>
      </c>
      <c r="I73" s="188" t="str">
        <f t="shared" si="9"/>
        <v/>
      </c>
    </row>
    <row r="74" spans="1:9">
      <c r="A74">
        <v>71</v>
      </c>
      <c r="B74" s="46">
        <v>45515</v>
      </c>
      <c r="C74" s="166">
        <v>3.2445350539369611</v>
      </c>
      <c r="D74" s="166">
        <v>15.363630405709555</v>
      </c>
      <c r="E74" s="166">
        <f t="shared" si="8"/>
        <v>3.2445350539369611</v>
      </c>
      <c r="F74" s="188" t="str">
        <f t="shared" si="7"/>
        <v/>
      </c>
      <c r="H74" t="str">
        <f t="shared" si="10"/>
        <v/>
      </c>
      <c r="I74" s="188" t="str">
        <f t="shared" si="9"/>
        <v/>
      </c>
    </row>
    <row r="75" spans="1:9">
      <c r="A75">
        <v>72</v>
      </c>
      <c r="B75" s="46">
        <v>45516</v>
      </c>
      <c r="C75" s="166">
        <v>2.3591191749406861</v>
      </c>
      <c r="D75" s="166">
        <v>15.363630405709555</v>
      </c>
      <c r="E75" s="166">
        <f t="shared" si="8"/>
        <v>2.3591191749406861</v>
      </c>
      <c r="F75" s="188" t="str">
        <f t="shared" si="7"/>
        <v/>
      </c>
      <c r="H75" t="str">
        <f t="shared" si="10"/>
        <v/>
      </c>
      <c r="I75" s="188" t="str">
        <f t="shared" si="9"/>
        <v/>
      </c>
    </row>
    <row r="76" spans="1:9">
      <c r="A76">
        <v>73</v>
      </c>
      <c r="B76" s="46">
        <v>45517</v>
      </c>
      <c r="C76" s="166">
        <v>6.1163461269388204</v>
      </c>
      <c r="D76" s="166">
        <v>15.363630405709555</v>
      </c>
      <c r="E76" s="166">
        <f t="shared" si="8"/>
        <v>6.1163461269388204</v>
      </c>
      <c r="F76" s="188" t="str">
        <f t="shared" si="7"/>
        <v/>
      </c>
      <c r="H76" t="str">
        <f t="shared" si="10"/>
        <v/>
      </c>
      <c r="I76" s="188" t="str">
        <f t="shared" si="9"/>
        <v/>
      </c>
    </row>
    <row r="77" spans="1:9">
      <c r="A77">
        <v>74</v>
      </c>
      <c r="B77" s="46">
        <v>45518</v>
      </c>
      <c r="C77" s="166">
        <v>11.974662251003625</v>
      </c>
      <c r="D77" s="166">
        <v>15.363630405709555</v>
      </c>
      <c r="E77" s="166">
        <f t="shared" si="8"/>
        <v>11.974662251003625</v>
      </c>
      <c r="F77" s="188" t="str">
        <f t="shared" si="7"/>
        <v/>
      </c>
      <c r="G77" s="189" t="str">
        <f>IF(DAY(B77)=15,D77,"")</f>
        <v/>
      </c>
      <c r="H77" t="str">
        <f t="shared" si="10"/>
        <v/>
      </c>
      <c r="I77" s="188" t="str">
        <f t="shared" si="9"/>
        <v/>
      </c>
    </row>
    <row r="78" spans="1:9">
      <c r="A78">
        <v>75</v>
      </c>
      <c r="B78" s="46">
        <v>45519</v>
      </c>
      <c r="C78" s="166">
        <v>2.313891444005487</v>
      </c>
      <c r="D78" s="166">
        <v>15.363630405709555</v>
      </c>
      <c r="E78" s="166">
        <f t="shared" si="8"/>
        <v>2.313891444005487</v>
      </c>
      <c r="F78" s="188" t="str">
        <f t="shared" si="7"/>
        <v>A</v>
      </c>
      <c r="H78" t="str">
        <f t="shared" si="10"/>
        <v/>
      </c>
      <c r="I78" s="188" t="str">
        <f t="shared" si="9"/>
        <v>A</v>
      </c>
    </row>
    <row r="79" spans="1:9">
      <c r="A79">
        <v>76</v>
      </c>
      <c r="B79" s="46">
        <v>45520</v>
      </c>
      <c r="C79" s="166">
        <v>2.7889215240073537</v>
      </c>
      <c r="D79" s="166">
        <v>15.363630405709555</v>
      </c>
      <c r="E79" s="166">
        <f t="shared" si="8"/>
        <v>2.7889215240073537</v>
      </c>
      <c r="F79" s="188" t="str">
        <f t="shared" si="7"/>
        <v/>
      </c>
      <c r="H79" t="str">
        <f t="shared" si="10"/>
        <v/>
      </c>
      <c r="I79" s="188" t="str">
        <f t="shared" si="9"/>
        <v/>
      </c>
    </row>
    <row r="80" spans="1:9">
      <c r="A80">
        <v>77</v>
      </c>
      <c r="B80" s="46">
        <v>45521</v>
      </c>
      <c r="C80" s="166">
        <v>3.6637183840073484</v>
      </c>
      <c r="D80" s="166">
        <v>15.363630405709555</v>
      </c>
      <c r="E80" s="166">
        <f t="shared" si="8"/>
        <v>3.6637183840073484</v>
      </c>
      <c r="F80" s="188" t="str">
        <f t="shared" si="7"/>
        <v/>
      </c>
      <c r="H80" t="str">
        <f t="shared" si="10"/>
        <v/>
      </c>
      <c r="I80" s="188" t="str">
        <f t="shared" si="9"/>
        <v/>
      </c>
    </row>
    <row r="81" spans="1:9">
      <c r="A81">
        <v>78</v>
      </c>
      <c r="B81" s="46">
        <v>45522</v>
      </c>
      <c r="C81" s="166">
        <v>3.1426225090036239</v>
      </c>
      <c r="D81" s="166">
        <v>15.363630405709555</v>
      </c>
      <c r="E81" s="166">
        <f t="shared" si="8"/>
        <v>3.1426225090036239</v>
      </c>
      <c r="F81" s="188" t="str">
        <f t="shared" si="7"/>
        <v/>
      </c>
      <c r="H81" t="str">
        <f t="shared" si="10"/>
        <v/>
      </c>
      <c r="I81" s="188" t="str">
        <f t="shared" si="9"/>
        <v/>
      </c>
    </row>
    <row r="82" spans="1:9">
      <c r="A82">
        <v>79</v>
      </c>
      <c r="B82" s="46">
        <v>45523</v>
      </c>
      <c r="C82" s="166">
        <v>2.7647522880036268</v>
      </c>
      <c r="D82" s="166">
        <v>15.363630405709555</v>
      </c>
      <c r="E82" s="166">
        <f t="shared" si="8"/>
        <v>2.7647522880036268</v>
      </c>
      <c r="F82" s="188" t="str">
        <f t="shared" si="7"/>
        <v/>
      </c>
      <c r="H82" t="str">
        <f t="shared" si="10"/>
        <v/>
      </c>
      <c r="I82" s="188" t="str">
        <f t="shared" si="9"/>
        <v/>
      </c>
    </row>
    <row r="83" spans="1:9">
      <c r="A83">
        <v>80</v>
      </c>
      <c r="B83" s="46">
        <v>45524</v>
      </c>
      <c r="C83" s="166">
        <v>8.3475346870073484</v>
      </c>
      <c r="D83" s="166">
        <v>15.363630405709555</v>
      </c>
      <c r="E83" s="166">
        <f t="shared" si="8"/>
        <v>8.3475346870073484</v>
      </c>
      <c r="F83" s="188" t="str">
        <f t="shared" si="7"/>
        <v/>
      </c>
      <c r="H83" t="str">
        <f t="shared" si="10"/>
        <v/>
      </c>
      <c r="I83" s="188" t="str">
        <f t="shared" si="9"/>
        <v/>
      </c>
    </row>
    <row r="84" spans="1:9">
      <c r="A84">
        <v>81</v>
      </c>
      <c r="B84" s="46">
        <v>45525</v>
      </c>
      <c r="C84" s="166">
        <v>13.457443864621782</v>
      </c>
      <c r="D84" s="166">
        <v>15.363630405709555</v>
      </c>
      <c r="E84" s="166">
        <f t="shared" si="8"/>
        <v>13.457443864621782</v>
      </c>
      <c r="F84" s="188" t="str">
        <f t="shared" si="7"/>
        <v/>
      </c>
      <c r="H84" t="str">
        <f t="shared" si="10"/>
        <v/>
      </c>
      <c r="I84" s="188" t="str">
        <f t="shared" si="9"/>
        <v/>
      </c>
    </row>
    <row r="85" spans="1:9">
      <c r="A85">
        <v>82</v>
      </c>
      <c r="B85" s="46">
        <v>45526</v>
      </c>
      <c r="C85" s="166">
        <v>17.84504337562737</v>
      </c>
      <c r="D85" s="166">
        <v>15.363630405709555</v>
      </c>
      <c r="E85" s="166">
        <f t="shared" si="8"/>
        <v>15.363630405709555</v>
      </c>
      <c r="F85" s="188" t="str">
        <f t="shared" si="7"/>
        <v/>
      </c>
      <c r="H85" t="str">
        <f t="shared" si="10"/>
        <v/>
      </c>
      <c r="I85" s="188" t="str">
        <f t="shared" si="9"/>
        <v/>
      </c>
    </row>
    <row r="86" spans="1:9">
      <c r="A86">
        <v>83</v>
      </c>
      <c r="B86" s="46">
        <v>45527</v>
      </c>
      <c r="C86" s="166">
        <v>13.587899395625515</v>
      </c>
      <c r="D86" s="166">
        <v>15.363630405709555</v>
      </c>
      <c r="E86" s="166">
        <f t="shared" si="8"/>
        <v>13.587899395625515</v>
      </c>
      <c r="F86" s="188" t="str">
        <f t="shared" si="7"/>
        <v/>
      </c>
      <c r="H86" t="str">
        <f t="shared" si="10"/>
        <v/>
      </c>
      <c r="I86" s="188" t="str">
        <f t="shared" si="9"/>
        <v/>
      </c>
    </row>
    <row r="87" spans="1:9">
      <c r="A87">
        <v>84</v>
      </c>
      <c r="B87" s="46">
        <v>45528</v>
      </c>
      <c r="C87" s="166">
        <v>3.139176939625504</v>
      </c>
      <c r="D87" s="166">
        <v>15.363630405709555</v>
      </c>
      <c r="E87" s="166">
        <f t="shared" si="8"/>
        <v>3.139176939625504</v>
      </c>
      <c r="F87" s="188" t="str">
        <f t="shared" si="7"/>
        <v/>
      </c>
      <c r="H87" t="str">
        <f t="shared" si="10"/>
        <v/>
      </c>
      <c r="I87" s="188" t="str">
        <f t="shared" si="9"/>
        <v/>
      </c>
    </row>
    <row r="88" spans="1:9">
      <c r="A88">
        <v>85</v>
      </c>
      <c r="B88" s="46">
        <v>45529</v>
      </c>
      <c r="C88" s="166">
        <v>3.6239849436255063</v>
      </c>
      <c r="D88" s="166">
        <v>15.363630405709555</v>
      </c>
      <c r="E88" s="166">
        <f t="shared" si="8"/>
        <v>3.6239849436255063</v>
      </c>
      <c r="F88" s="188" t="str">
        <f t="shared" si="7"/>
        <v/>
      </c>
      <c r="H88" t="str">
        <f t="shared" si="10"/>
        <v/>
      </c>
      <c r="I88" s="188" t="str">
        <f t="shared" si="9"/>
        <v/>
      </c>
    </row>
    <row r="89" spans="1:9">
      <c r="A89">
        <v>86</v>
      </c>
      <c r="B89" s="46">
        <v>45530</v>
      </c>
      <c r="C89" s="166">
        <v>18.695398971623646</v>
      </c>
      <c r="D89" s="166">
        <v>15.363630405709555</v>
      </c>
      <c r="E89" s="166">
        <f t="shared" si="8"/>
        <v>15.363630405709555</v>
      </c>
      <c r="F89" s="188" t="str">
        <f t="shared" si="7"/>
        <v/>
      </c>
      <c r="H89" t="str">
        <f t="shared" si="10"/>
        <v/>
      </c>
      <c r="I89" s="188" t="str">
        <f t="shared" si="9"/>
        <v/>
      </c>
    </row>
    <row r="90" spans="1:9">
      <c r="A90">
        <v>87</v>
      </c>
      <c r="B90" s="46">
        <v>45531</v>
      </c>
      <c r="C90" s="166">
        <v>19.764271587625508</v>
      </c>
      <c r="D90" s="166">
        <v>15.363630405709555</v>
      </c>
      <c r="E90" s="166">
        <f t="shared" si="8"/>
        <v>15.363630405709555</v>
      </c>
      <c r="F90" s="188" t="str">
        <f t="shared" si="7"/>
        <v/>
      </c>
      <c r="H90" t="str">
        <f t="shared" si="10"/>
        <v/>
      </c>
      <c r="I90" s="188" t="str">
        <f t="shared" si="9"/>
        <v/>
      </c>
    </row>
    <row r="91" spans="1:9">
      <c r="A91">
        <v>88</v>
      </c>
      <c r="B91" s="46">
        <v>45532</v>
      </c>
      <c r="C91" s="166">
        <v>25.071713284847881</v>
      </c>
      <c r="D91" s="166">
        <v>15.363630405709555</v>
      </c>
      <c r="E91" s="166">
        <f t="shared" si="8"/>
        <v>15.363630405709555</v>
      </c>
      <c r="F91" s="188" t="str">
        <f t="shared" si="7"/>
        <v/>
      </c>
      <c r="H91" t="str">
        <f t="shared" si="10"/>
        <v/>
      </c>
      <c r="I91" s="188" t="str">
        <f t="shared" si="9"/>
        <v/>
      </c>
    </row>
    <row r="92" spans="1:9">
      <c r="A92">
        <v>89</v>
      </c>
      <c r="B92" s="46">
        <v>45533</v>
      </c>
      <c r="C92" s="166">
        <v>17.686682008849747</v>
      </c>
      <c r="D92" s="166">
        <v>15.363630405709555</v>
      </c>
      <c r="E92" s="166">
        <f t="shared" si="8"/>
        <v>15.363630405709555</v>
      </c>
      <c r="F92" s="188" t="str">
        <f t="shared" si="7"/>
        <v/>
      </c>
      <c r="H92" t="str">
        <f t="shared" si="10"/>
        <v/>
      </c>
      <c r="I92" s="188" t="str">
        <f t="shared" si="9"/>
        <v/>
      </c>
    </row>
    <row r="93" spans="1:9">
      <c r="A93">
        <v>90</v>
      </c>
      <c r="B93" s="46">
        <v>45534</v>
      </c>
      <c r="C93" s="166">
        <v>20.918469743849744</v>
      </c>
      <c r="D93" s="166">
        <v>15.363630405709555</v>
      </c>
      <c r="E93" s="166">
        <f t="shared" si="8"/>
        <v>15.363630405709555</v>
      </c>
      <c r="F93" s="188" t="str">
        <f t="shared" si="7"/>
        <v/>
      </c>
      <c r="H93" t="str">
        <f t="shared" si="10"/>
        <v/>
      </c>
      <c r="I93" s="188" t="str">
        <f t="shared" si="9"/>
        <v/>
      </c>
    </row>
    <row r="94" spans="1:9">
      <c r="A94">
        <v>91</v>
      </c>
      <c r="B94" s="46">
        <v>45535</v>
      </c>
      <c r="C94" s="166">
        <v>2.742251960849746</v>
      </c>
      <c r="D94" s="166">
        <v>15.363630405709555</v>
      </c>
      <c r="E94" s="166">
        <f t="shared" si="8"/>
        <v>2.742251960849746</v>
      </c>
      <c r="F94" s="188" t="str">
        <f t="shared" si="7"/>
        <v/>
      </c>
      <c r="H94" t="str">
        <f t="shared" si="10"/>
        <v/>
      </c>
      <c r="I94" s="188" t="str">
        <f t="shared" si="9"/>
        <v/>
      </c>
    </row>
    <row r="95" spans="1:9">
      <c r="A95">
        <v>92</v>
      </c>
      <c r="B95" s="46">
        <v>45536</v>
      </c>
      <c r="C95" s="166">
        <v>3.3861522168516096</v>
      </c>
      <c r="D95" s="166">
        <v>19.885734840413747</v>
      </c>
      <c r="E95" s="166">
        <f t="shared" si="8"/>
        <v>3.3861522168516096</v>
      </c>
      <c r="F95" s="188" t="str">
        <f t="shared" si="7"/>
        <v/>
      </c>
      <c r="H95" t="str">
        <f t="shared" si="10"/>
        <v/>
      </c>
      <c r="I95" s="188" t="str">
        <f t="shared" si="9"/>
        <v/>
      </c>
    </row>
    <row r="96" spans="1:9">
      <c r="A96">
        <v>93</v>
      </c>
      <c r="B96" s="46">
        <v>45537</v>
      </c>
      <c r="C96" s="166">
        <v>3.4677666688497486</v>
      </c>
      <c r="D96" s="166">
        <v>19.885734840413747</v>
      </c>
      <c r="E96" s="166">
        <f t="shared" si="8"/>
        <v>3.4677666688497486</v>
      </c>
      <c r="F96" s="188" t="str">
        <f t="shared" si="7"/>
        <v/>
      </c>
      <c r="H96" t="str">
        <f t="shared" si="10"/>
        <v/>
      </c>
      <c r="I96" s="188" t="str">
        <f t="shared" si="9"/>
        <v/>
      </c>
    </row>
    <row r="97" spans="1:9">
      <c r="A97">
        <v>94</v>
      </c>
      <c r="B97" s="46">
        <v>45538</v>
      </c>
      <c r="C97" s="166">
        <v>2.9788258928478828</v>
      </c>
      <c r="D97" s="166">
        <v>19.885734840413747</v>
      </c>
      <c r="E97" s="166">
        <f t="shared" si="8"/>
        <v>2.9788258928478828</v>
      </c>
      <c r="F97" s="188" t="str">
        <f t="shared" si="7"/>
        <v/>
      </c>
      <c r="H97" t="str">
        <f t="shared" si="10"/>
        <v/>
      </c>
      <c r="I97" s="188" t="str">
        <f t="shared" si="9"/>
        <v/>
      </c>
    </row>
    <row r="98" spans="1:9">
      <c r="A98">
        <v>95</v>
      </c>
      <c r="B98" s="46">
        <v>45539</v>
      </c>
      <c r="C98" s="166">
        <v>13.350197940835489</v>
      </c>
      <c r="D98" s="166">
        <v>19.885734840413747</v>
      </c>
      <c r="E98" s="166">
        <f t="shared" si="8"/>
        <v>13.350197940835489</v>
      </c>
      <c r="F98" s="188" t="str">
        <f t="shared" si="7"/>
        <v/>
      </c>
      <c r="H98" t="str">
        <f t="shared" si="10"/>
        <v/>
      </c>
      <c r="I98" s="188" t="str">
        <f t="shared" si="9"/>
        <v/>
      </c>
    </row>
    <row r="99" spans="1:9">
      <c r="A99">
        <v>96</v>
      </c>
      <c r="B99" s="46">
        <v>45540</v>
      </c>
      <c r="C99" s="166">
        <v>44.858035183837345</v>
      </c>
      <c r="D99" s="166">
        <v>19.885734840413747</v>
      </c>
      <c r="E99" s="166">
        <f t="shared" si="8"/>
        <v>19.885734840413747</v>
      </c>
      <c r="F99" s="188" t="str">
        <f t="shared" si="7"/>
        <v/>
      </c>
      <c r="H99" t="str">
        <f t="shared" si="10"/>
        <v/>
      </c>
      <c r="I99" s="188" t="str">
        <f t="shared" si="9"/>
        <v/>
      </c>
    </row>
    <row r="100" spans="1:9">
      <c r="A100">
        <v>97</v>
      </c>
      <c r="B100" s="46">
        <v>45541</v>
      </c>
      <c r="C100" s="166">
        <v>39.888847947835487</v>
      </c>
      <c r="D100" s="166">
        <v>19.885734840413747</v>
      </c>
      <c r="E100" s="166">
        <f t="shared" si="8"/>
        <v>19.885734840413747</v>
      </c>
      <c r="F100" s="188" t="str">
        <f t="shared" si="7"/>
        <v/>
      </c>
      <c r="H100" t="str">
        <f t="shared" si="10"/>
        <v/>
      </c>
      <c r="I100" s="188" t="str">
        <f t="shared" si="9"/>
        <v/>
      </c>
    </row>
    <row r="101" spans="1:9">
      <c r="A101">
        <v>98</v>
      </c>
      <c r="B101" s="46">
        <v>45542</v>
      </c>
      <c r="C101" s="166">
        <v>44.693236418833621</v>
      </c>
      <c r="D101" s="166">
        <v>19.885734840413747</v>
      </c>
      <c r="E101" s="166">
        <f t="shared" si="8"/>
        <v>19.885734840413747</v>
      </c>
      <c r="F101" s="188" t="str">
        <f t="shared" si="7"/>
        <v/>
      </c>
      <c r="H101" t="str">
        <f t="shared" si="10"/>
        <v/>
      </c>
      <c r="I101" s="188" t="str">
        <f t="shared" si="9"/>
        <v/>
      </c>
    </row>
    <row r="102" spans="1:9">
      <c r="A102">
        <v>99</v>
      </c>
      <c r="B102" s="46">
        <v>45543</v>
      </c>
      <c r="C102" s="166">
        <v>24.864796343835486</v>
      </c>
      <c r="D102" s="166">
        <v>19.885734840413747</v>
      </c>
      <c r="E102" s="166">
        <f t="shared" si="8"/>
        <v>19.885734840413747</v>
      </c>
      <c r="F102" s="188" t="str">
        <f t="shared" si="7"/>
        <v/>
      </c>
      <c r="H102" t="str">
        <f t="shared" si="10"/>
        <v/>
      </c>
      <c r="I102" s="188" t="str">
        <f t="shared" si="9"/>
        <v/>
      </c>
    </row>
    <row r="103" spans="1:9">
      <c r="A103">
        <v>100</v>
      </c>
      <c r="B103" s="46">
        <v>45544</v>
      </c>
      <c r="C103" s="166">
        <v>34.384552203833621</v>
      </c>
      <c r="D103" s="166">
        <v>19.885734840413747</v>
      </c>
      <c r="E103" s="166">
        <f t="shared" si="8"/>
        <v>19.885734840413747</v>
      </c>
      <c r="F103" s="188" t="str">
        <f t="shared" si="7"/>
        <v/>
      </c>
      <c r="H103" t="str">
        <f t="shared" si="10"/>
        <v/>
      </c>
      <c r="I103" s="188" t="str">
        <f t="shared" si="9"/>
        <v/>
      </c>
    </row>
    <row r="104" spans="1:9">
      <c r="A104">
        <v>101</v>
      </c>
      <c r="B104" s="46">
        <v>45545</v>
      </c>
      <c r="C104" s="166">
        <v>31.774274239835488</v>
      </c>
      <c r="D104" s="166">
        <v>19.885734840413747</v>
      </c>
      <c r="E104" s="166">
        <f t="shared" si="8"/>
        <v>19.885734840413747</v>
      </c>
      <c r="F104" s="188" t="str">
        <f t="shared" si="7"/>
        <v/>
      </c>
      <c r="H104" t="str">
        <f t="shared" si="10"/>
        <v/>
      </c>
      <c r="I104" s="188" t="str">
        <f t="shared" si="9"/>
        <v/>
      </c>
    </row>
    <row r="105" spans="1:9">
      <c r="A105">
        <v>102</v>
      </c>
      <c r="B105" s="46">
        <v>45546</v>
      </c>
      <c r="C105" s="166">
        <v>28.271422682858041</v>
      </c>
      <c r="D105" s="166">
        <v>19.885734840413747</v>
      </c>
      <c r="E105" s="166">
        <f t="shared" si="8"/>
        <v>19.885734840413747</v>
      </c>
      <c r="F105" s="188" t="str">
        <f t="shared" si="7"/>
        <v/>
      </c>
      <c r="H105" t="str">
        <f t="shared" si="10"/>
        <v/>
      </c>
      <c r="I105" s="188" t="str">
        <f t="shared" si="9"/>
        <v/>
      </c>
    </row>
    <row r="106" spans="1:9">
      <c r="A106">
        <v>103</v>
      </c>
      <c r="B106" s="46">
        <v>45547</v>
      </c>
      <c r="C106" s="166">
        <v>31.615490350856177</v>
      </c>
      <c r="D106" s="166">
        <v>19.885734840413747</v>
      </c>
      <c r="E106" s="166">
        <f t="shared" si="8"/>
        <v>19.885734840413747</v>
      </c>
      <c r="F106" s="188" t="str">
        <f t="shared" si="7"/>
        <v/>
      </c>
      <c r="H106" t="str">
        <f t="shared" si="10"/>
        <v/>
      </c>
      <c r="I106" s="188" t="str">
        <f t="shared" si="9"/>
        <v/>
      </c>
    </row>
    <row r="107" spans="1:9">
      <c r="A107">
        <v>104</v>
      </c>
      <c r="B107" s="46">
        <v>45548</v>
      </c>
      <c r="C107" s="166">
        <v>19.226709610854318</v>
      </c>
      <c r="D107" s="166">
        <v>19.885734840413747</v>
      </c>
      <c r="E107" s="166">
        <f t="shared" si="8"/>
        <v>19.226709610854318</v>
      </c>
      <c r="F107" s="188" t="str">
        <f t="shared" si="7"/>
        <v/>
      </c>
      <c r="H107" t="str">
        <f t="shared" si="10"/>
        <v/>
      </c>
      <c r="I107" s="188" t="str">
        <f t="shared" si="9"/>
        <v/>
      </c>
    </row>
    <row r="108" spans="1:9">
      <c r="A108">
        <v>105</v>
      </c>
      <c r="B108" s="46">
        <v>45549</v>
      </c>
      <c r="C108" s="166">
        <v>10.20638647585618</v>
      </c>
      <c r="D108" s="166">
        <v>19.885734840413747</v>
      </c>
      <c r="E108" s="166">
        <f t="shared" si="8"/>
        <v>10.20638647585618</v>
      </c>
      <c r="F108" s="188" t="str">
        <f t="shared" si="7"/>
        <v/>
      </c>
      <c r="G108" s="189" t="str">
        <f>IF(DAY(B108)=15,D108,"")</f>
        <v/>
      </c>
      <c r="H108" t="str">
        <f t="shared" si="10"/>
        <v/>
      </c>
      <c r="I108" s="188" t="str">
        <f t="shared" si="9"/>
        <v/>
      </c>
    </row>
    <row r="109" spans="1:9">
      <c r="A109">
        <v>106</v>
      </c>
      <c r="B109" s="46">
        <v>45550</v>
      </c>
      <c r="C109" s="166">
        <v>4.7013636978543181</v>
      </c>
      <c r="D109" s="166">
        <v>19.885734840413747</v>
      </c>
      <c r="E109" s="166">
        <f t="shared" si="8"/>
        <v>4.7013636978543181</v>
      </c>
      <c r="F109" s="188" t="str">
        <f t="shared" si="7"/>
        <v>S</v>
      </c>
      <c r="H109" t="str">
        <f t="shared" si="10"/>
        <v/>
      </c>
      <c r="I109" s="188" t="str">
        <f t="shared" si="9"/>
        <v>S</v>
      </c>
    </row>
    <row r="110" spans="1:9">
      <c r="A110">
        <v>107</v>
      </c>
      <c r="B110" s="46">
        <v>45551</v>
      </c>
      <c r="C110" s="166">
        <v>8.5534986828543182</v>
      </c>
      <c r="D110" s="166">
        <v>19.885734840413747</v>
      </c>
      <c r="E110" s="166">
        <f t="shared" si="8"/>
        <v>8.5534986828543182</v>
      </c>
      <c r="F110" s="188" t="str">
        <f t="shared" si="7"/>
        <v/>
      </c>
      <c r="H110" t="str">
        <f t="shared" si="10"/>
        <v/>
      </c>
      <c r="I110" s="188" t="str">
        <f t="shared" si="9"/>
        <v/>
      </c>
    </row>
    <row r="111" spans="1:9">
      <c r="A111">
        <v>108</v>
      </c>
      <c r="B111" s="46">
        <v>45552</v>
      </c>
      <c r="C111" s="166">
        <v>9.7971874988580421</v>
      </c>
      <c r="D111" s="166">
        <v>19.885734840413747</v>
      </c>
      <c r="E111" s="166">
        <f t="shared" si="8"/>
        <v>9.7971874988580421</v>
      </c>
      <c r="F111" s="188" t="str">
        <f t="shared" si="7"/>
        <v/>
      </c>
      <c r="H111" t="str">
        <f t="shared" si="10"/>
        <v/>
      </c>
      <c r="I111" s="188" t="str">
        <f t="shared" si="9"/>
        <v/>
      </c>
    </row>
    <row r="112" spans="1:9">
      <c r="A112">
        <v>109</v>
      </c>
      <c r="B112" s="46">
        <v>45553</v>
      </c>
      <c r="C112" s="166">
        <v>29.041916538356869</v>
      </c>
      <c r="D112" s="166">
        <v>19.885734840413747</v>
      </c>
      <c r="E112" s="166">
        <f t="shared" si="8"/>
        <v>19.885734840413747</v>
      </c>
      <c r="F112" s="188" t="str">
        <f t="shared" si="7"/>
        <v/>
      </c>
      <c r="H112" t="str">
        <f t="shared" si="10"/>
        <v/>
      </c>
      <c r="I112" s="188" t="str">
        <f t="shared" si="9"/>
        <v/>
      </c>
    </row>
    <row r="113" spans="1:9">
      <c r="A113">
        <v>110</v>
      </c>
      <c r="B113" s="46">
        <v>45554</v>
      </c>
      <c r="C113" s="166">
        <v>60.274292950355012</v>
      </c>
      <c r="D113" s="166">
        <v>19.885734840413747</v>
      </c>
      <c r="E113" s="166">
        <f t="shared" si="8"/>
        <v>19.885734840413747</v>
      </c>
      <c r="F113" s="188" t="str">
        <f t="shared" si="7"/>
        <v/>
      </c>
      <c r="H113" t="str">
        <f t="shared" si="10"/>
        <v/>
      </c>
      <c r="I113" s="188" t="str">
        <f t="shared" si="9"/>
        <v/>
      </c>
    </row>
    <row r="114" spans="1:9">
      <c r="A114">
        <v>111</v>
      </c>
      <c r="B114" s="46">
        <v>45555</v>
      </c>
      <c r="C114" s="166">
        <v>63.832625350356871</v>
      </c>
      <c r="D114" s="166">
        <v>19.885734840413747</v>
      </c>
      <c r="E114" s="166">
        <f t="shared" si="8"/>
        <v>19.885734840413747</v>
      </c>
      <c r="F114" s="188" t="str">
        <f t="shared" si="7"/>
        <v/>
      </c>
      <c r="H114" t="str">
        <f t="shared" si="10"/>
        <v/>
      </c>
      <c r="I114" s="188" t="str">
        <f t="shared" si="9"/>
        <v/>
      </c>
    </row>
    <row r="115" spans="1:9">
      <c r="A115">
        <v>112</v>
      </c>
      <c r="B115" s="46">
        <v>45556</v>
      </c>
      <c r="C115" s="166">
        <v>50.197664322356871</v>
      </c>
      <c r="D115" s="166">
        <v>19.885734840413747</v>
      </c>
      <c r="E115" s="166">
        <f t="shared" si="8"/>
        <v>19.885734840413747</v>
      </c>
      <c r="F115" s="188" t="str">
        <f t="shared" si="7"/>
        <v/>
      </c>
      <c r="H115" t="str">
        <f t="shared" si="10"/>
        <v/>
      </c>
      <c r="I115" s="188" t="str">
        <f t="shared" si="9"/>
        <v/>
      </c>
    </row>
    <row r="116" spans="1:9">
      <c r="A116">
        <v>113</v>
      </c>
      <c r="B116" s="46">
        <v>45557</v>
      </c>
      <c r="C116" s="166">
        <v>43.917412422356882</v>
      </c>
      <c r="D116" s="166">
        <v>19.885734840413747</v>
      </c>
      <c r="E116" s="166">
        <f t="shared" si="8"/>
        <v>19.885734840413747</v>
      </c>
      <c r="F116" s="188" t="str">
        <f t="shared" si="7"/>
        <v/>
      </c>
      <c r="H116" t="str">
        <f t="shared" si="10"/>
        <v/>
      </c>
      <c r="I116" s="188" t="str">
        <f t="shared" si="9"/>
        <v/>
      </c>
    </row>
    <row r="117" spans="1:9">
      <c r="A117">
        <v>114</v>
      </c>
      <c r="B117" s="46">
        <v>45558</v>
      </c>
      <c r="C117" s="166">
        <v>42.279065178355012</v>
      </c>
      <c r="D117" s="166">
        <v>19.885734840413747</v>
      </c>
      <c r="E117" s="166">
        <f t="shared" si="8"/>
        <v>19.885734840413747</v>
      </c>
      <c r="F117" s="188" t="str">
        <f t="shared" si="7"/>
        <v/>
      </c>
      <c r="H117" t="str">
        <f t="shared" si="10"/>
        <v/>
      </c>
      <c r="I117" s="188" t="str">
        <f t="shared" si="9"/>
        <v/>
      </c>
    </row>
    <row r="118" spans="1:9">
      <c r="A118">
        <v>115</v>
      </c>
      <c r="B118" s="46">
        <v>45559</v>
      </c>
      <c r="C118" s="166">
        <v>43.818669830356868</v>
      </c>
      <c r="D118" s="166">
        <v>19.885734840413747</v>
      </c>
      <c r="E118" s="166">
        <f t="shared" si="8"/>
        <v>19.885734840413747</v>
      </c>
      <c r="F118" s="188" t="str">
        <f t="shared" si="7"/>
        <v/>
      </c>
      <c r="H118" t="str">
        <f t="shared" si="10"/>
        <v/>
      </c>
      <c r="I118" s="188" t="str">
        <f t="shared" si="9"/>
        <v/>
      </c>
    </row>
    <row r="119" spans="1:9">
      <c r="A119">
        <v>116</v>
      </c>
      <c r="B119" s="46">
        <v>45560</v>
      </c>
      <c r="C119" s="166">
        <v>49.660390897962571</v>
      </c>
      <c r="D119" s="166">
        <v>19.885734840413747</v>
      </c>
      <c r="E119" s="166">
        <f t="shared" si="8"/>
        <v>19.885734840413747</v>
      </c>
      <c r="F119" s="188" t="str">
        <f t="shared" si="7"/>
        <v/>
      </c>
      <c r="H119" t="str">
        <f t="shared" si="10"/>
        <v/>
      </c>
      <c r="I119" s="188" t="str">
        <f t="shared" si="9"/>
        <v/>
      </c>
    </row>
    <row r="120" spans="1:9">
      <c r="A120">
        <v>117</v>
      </c>
      <c r="B120" s="46">
        <v>45561</v>
      </c>
      <c r="C120" s="166">
        <v>36.476566837960704</v>
      </c>
      <c r="D120" s="166">
        <v>19.885734840413747</v>
      </c>
      <c r="E120" s="166">
        <f t="shared" si="8"/>
        <v>19.885734840413747</v>
      </c>
      <c r="F120" s="188" t="str">
        <f t="shared" si="7"/>
        <v/>
      </c>
      <c r="H120" t="str">
        <f t="shared" si="10"/>
        <v/>
      </c>
      <c r="I120" s="188" t="str">
        <f t="shared" si="9"/>
        <v/>
      </c>
    </row>
    <row r="121" spans="1:9">
      <c r="A121">
        <v>118</v>
      </c>
      <c r="B121" s="46">
        <v>45562</v>
      </c>
      <c r="C121" s="166">
        <v>37.369163633964433</v>
      </c>
      <c r="D121" s="166">
        <v>19.885734840413747</v>
      </c>
      <c r="E121" s="166">
        <f t="shared" si="8"/>
        <v>19.885734840413747</v>
      </c>
      <c r="F121" s="188" t="str">
        <f t="shared" si="7"/>
        <v/>
      </c>
      <c r="H121" t="str">
        <f t="shared" si="10"/>
        <v/>
      </c>
      <c r="I121" s="188" t="str">
        <f t="shared" si="9"/>
        <v/>
      </c>
    </row>
    <row r="122" spans="1:9">
      <c r="A122">
        <v>119</v>
      </c>
      <c r="B122" s="46">
        <v>45563</v>
      </c>
      <c r="C122" s="166">
        <v>45.754677949964432</v>
      </c>
      <c r="D122" s="166">
        <v>19.885734840413747</v>
      </c>
      <c r="E122" s="166">
        <f t="shared" si="8"/>
        <v>19.885734840413747</v>
      </c>
      <c r="F122" s="188" t="str">
        <f t="shared" si="7"/>
        <v/>
      </c>
      <c r="H122" t="str">
        <f t="shared" si="10"/>
        <v/>
      </c>
      <c r="I122" s="188" t="str">
        <f t="shared" si="9"/>
        <v/>
      </c>
    </row>
    <row r="123" spans="1:9">
      <c r="A123">
        <v>120</v>
      </c>
      <c r="B123" s="46">
        <v>45564</v>
      </c>
      <c r="C123" s="166">
        <v>37.675193005962569</v>
      </c>
      <c r="D123" s="166">
        <v>19.885734840413747</v>
      </c>
      <c r="E123" s="166">
        <f t="shared" si="8"/>
        <v>19.885734840413747</v>
      </c>
      <c r="F123" s="188" t="str">
        <f t="shared" si="7"/>
        <v/>
      </c>
      <c r="H123" t="str">
        <f t="shared" si="10"/>
        <v/>
      </c>
      <c r="I123" s="188" t="str">
        <f t="shared" si="9"/>
        <v/>
      </c>
    </row>
    <row r="124" spans="1:9">
      <c r="A124">
        <v>121</v>
      </c>
      <c r="B124" s="46">
        <v>45565</v>
      </c>
      <c r="C124" s="166">
        <v>63.93063872696257</v>
      </c>
      <c r="D124" s="166">
        <v>19.885734840413747</v>
      </c>
      <c r="E124" s="166">
        <f t="shared" si="8"/>
        <v>19.885734840413747</v>
      </c>
      <c r="F124" s="188" t="str">
        <f t="shared" si="7"/>
        <v/>
      </c>
      <c r="H124" t="str">
        <f t="shared" si="10"/>
        <v/>
      </c>
      <c r="I124" s="188" t="str">
        <f t="shared" si="9"/>
        <v/>
      </c>
    </row>
    <row r="125" spans="1:9">
      <c r="A125">
        <v>122</v>
      </c>
      <c r="B125" s="46">
        <v>45566</v>
      </c>
      <c r="C125" s="166">
        <v>70.121564224962569</v>
      </c>
      <c r="D125" s="166">
        <v>40.505689176644211</v>
      </c>
      <c r="E125" s="166">
        <f t="shared" si="8"/>
        <v>40.505689176644211</v>
      </c>
      <c r="F125" s="188" t="str">
        <f t="shared" si="7"/>
        <v/>
      </c>
      <c r="H125" t="str">
        <f t="shared" si="10"/>
        <v/>
      </c>
      <c r="I125" s="188" t="str">
        <f t="shared" si="9"/>
        <v/>
      </c>
    </row>
    <row r="126" spans="1:9">
      <c r="A126">
        <v>123</v>
      </c>
      <c r="B126" s="46">
        <v>45567</v>
      </c>
      <c r="C126" s="166">
        <v>58.093691492615221</v>
      </c>
      <c r="D126" s="166">
        <v>40.505689176644211</v>
      </c>
      <c r="E126" s="166">
        <f t="shared" si="8"/>
        <v>40.505689176644211</v>
      </c>
      <c r="F126" s="188" t="str">
        <f t="shared" si="7"/>
        <v/>
      </c>
      <c r="H126" t="str">
        <f t="shared" si="10"/>
        <v/>
      </c>
      <c r="I126" s="188" t="str">
        <f t="shared" si="9"/>
        <v/>
      </c>
    </row>
    <row r="127" spans="1:9">
      <c r="A127">
        <v>124</v>
      </c>
      <c r="B127" s="46">
        <v>45568</v>
      </c>
      <c r="C127" s="166">
        <v>63.505284593613354</v>
      </c>
      <c r="D127" s="166">
        <v>40.505689176644211</v>
      </c>
      <c r="E127" s="166">
        <f t="shared" si="8"/>
        <v>40.505689176644211</v>
      </c>
      <c r="F127" s="188" t="str">
        <f t="shared" si="7"/>
        <v/>
      </c>
      <c r="H127" t="str">
        <f t="shared" si="10"/>
        <v/>
      </c>
      <c r="I127" s="188" t="str">
        <f t="shared" si="9"/>
        <v/>
      </c>
    </row>
    <row r="128" spans="1:9">
      <c r="A128">
        <v>125</v>
      </c>
      <c r="B128" s="46">
        <v>45569</v>
      </c>
      <c r="C128" s="166">
        <v>75.064582163617089</v>
      </c>
      <c r="D128" s="166">
        <v>40.505689176644211</v>
      </c>
      <c r="E128" s="166">
        <f t="shared" si="8"/>
        <v>40.505689176644211</v>
      </c>
      <c r="F128" s="188" t="str">
        <f t="shared" si="7"/>
        <v/>
      </c>
      <c r="H128" t="str">
        <f t="shared" si="10"/>
        <v/>
      </c>
      <c r="I128" s="188" t="str">
        <f t="shared" si="9"/>
        <v/>
      </c>
    </row>
    <row r="129" spans="1:9">
      <c r="A129">
        <v>126</v>
      </c>
      <c r="B129" s="46">
        <v>45570</v>
      </c>
      <c r="C129" s="166">
        <v>63.668841232613353</v>
      </c>
      <c r="D129" s="166">
        <v>40.505689176644211</v>
      </c>
      <c r="E129" s="166">
        <f t="shared" si="8"/>
        <v>40.505689176644211</v>
      </c>
      <c r="F129" s="188" t="str">
        <f t="shared" si="7"/>
        <v/>
      </c>
      <c r="H129" t="str">
        <f t="shared" si="10"/>
        <v/>
      </c>
      <c r="I129" s="188" t="str">
        <f t="shared" si="9"/>
        <v/>
      </c>
    </row>
    <row r="130" spans="1:9">
      <c r="A130">
        <v>127</v>
      </c>
      <c r="B130" s="46">
        <v>45571</v>
      </c>
      <c r="C130" s="166">
        <v>32.815466096617079</v>
      </c>
      <c r="D130" s="166">
        <v>40.505689176644211</v>
      </c>
      <c r="E130" s="166">
        <f t="shared" si="8"/>
        <v>32.815466096617079</v>
      </c>
      <c r="F130" s="188" t="str">
        <f t="shared" si="7"/>
        <v/>
      </c>
      <c r="H130" t="str">
        <f t="shared" si="10"/>
        <v/>
      </c>
      <c r="I130" s="188" t="str">
        <f t="shared" si="9"/>
        <v/>
      </c>
    </row>
    <row r="131" spans="1:9">
      <c r="A131">
        <v>128</v>
      </c>
      <c r="B131" s="46">
        <v>45572</v>
      </c>
      <c r="C131" s="166">
        <v>54.135526761615218</v>
      </c>
      <c r="D131" s="166">
        <v>40.505689176644211</v>
      </c>
      <c r="E131" s="166">
        <f t="shared" si="8"/>
        <v>40.505689176644211</v>
      </c>
      <c r="F131" s="188" t="str">
        <f t="shared" ref="F131:F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t="str">
        <f t="shared" si="10"/>
        <v/>
      </c>
      <c r="I131" s="188" t="str">
        <f t="shared" si="9"/>
        <v/>
      </c>
    </row>
    <row r="132" spans="1:9">
      <c r="A132">
        <v>129</v>
      </c>
      <c r="B132" s="46">
        <v>45573</v>
      </c>
      <c r="C132" s="166">
        <v>44.202079119613359</v>
      </c>
      <c r="D132" s="166">
        <v>40.505689176644211</v>
      </c>
      <c r="E132" s="166">
        <f t="shared" ref="E132:E195" si="12">IF(C132&lt;D132,C132,D132)</f>
        <v>40.505689176644211</v>
      </c>
      <c r="F132" s="188" t="str">
        <f t="shared" si="11"/>
        <v/>
      </c>
      <c r="H132" t="str">
        <f t="shared" si="10"/>
        <v/>
      </c>
      <c r="I132" s="188" t="str">
        <f t="shared" ref="I132:I195" si="13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9">
      <c r="A133">
        <v>130</v>
      </c>
      <c r="B133" s="46">
        <v>45574</v>
      </c>
      <c r="C133" s="166">
        <v>108.60683495363436</v>
      </c>
      <c r="D133" s="166">
        <v>40.505689176644211</v>
      </c>
      <c r="E133" s="166">
        <f t="shared" si="12"/>
        <v>40.505689176644211</v>
      </c>
      <c r="F133" s="188" t="str">
        <f t="shared" si="11"/>
        <v/>
      </c>
      <c r="H133" t="str">
        <f t="shared" ref="H133:H196" si="14">IF(MONTH(B133)=1,IF(DAY(B133)=1,YEAR(B133),""),"")</f>
        <v/>
      </c>
      <c r="I133" s="188" t="str">
        <f t="shared" si="13"/>
        <v/>
      </c>
    </row>
    <row r="134" spans="1:9">
      <c r="A134">
        <v>131</v>
      </c>
      <c r="B134" s="46">
        <v>45575</v>
      </c>
      <c r="C134" s="166">
        <v>142.73072479663435</v>
      </c>
      <c r="D134" s="166">
        <v>40.505689176644211</v>
      </c>
      <c r="E134" s="166">
        <f t="shared" si="12"/>
        <v>40.505689176644211</v>
      </c>
      <c r="F134" s="188" t="str">
        <f t="shared" si="11"/>
        <v/>
      </c>
      <c r="H134" t="str">
        <f t="shared" si="14"/>
        <v/>
      </c>
      <c r="I134" s="188" t="str">
        <f t="shared" si="13"/>
        <v/>
      </c>
    </row>
    <row r="135" spans="1:9">
      <c r="A135">
        <v>132</v>
      </c>
      <c r="B135" s="46">
        <v>45576</v>
      </c>
      <c r="C135" s="166">
        <v>165.58634543963248</v>
      </c>
      <c r="D135" s="166">
        <v>40.505689176644211</v>
      </c>
      <c r="E135" s="166">
        <f t="shared" si="12"/>
        <v>40.505689176644211</v>
      </c>
      <c r="F135" s="188" t="str">
        <f t="shared" si="11"/>
        <v/>
      </c>
      <c r="H135" t="str">
        <f t="shared" si="14"/>
        <v/>
      </c>
      <c r="I135" s="188" t="str">
        <f t="shared" si="13"/>
        <v/>
      </c>
    </row>
    <row r="136" spans="1:9">
      <c r="A136">
        <v>133</v>
      </c>
      <c r="B136" s="46">
        <v>45577</v>
      </c>
      <c r="C136" s="166">
        <v>154.05349895263433</v>
      </c>
      <c r="D136" s="166">
        <v>40.505689176644211</v>
      </c>
      <c r="E136" s="166">
        <f t="shared" si="12"/>
        <v>40.505689176644211</v>
      </c>
      <c r="F136" s="188" t="str">
        <f t="shared" si="11"/>
        <v/>
      </c>
      <c r="H136" t="str">
        <f t="shared" si="14"/>
        <v/>
      </c>
      <c r="I136" s="188" t="str">
        <f t="shared" si="13"/>
        <v/>
      </c>
    </row>
    <row r="137" spans="1:9">
      <c r="A137">
        <v>134</v>
      </c>
      <c r="B137" s="46">
        <v>45578</v>
      </c>
      <c r="C137" s="166">
        <v>138.64484870463434</v>
      </c>
      <c r="D137" s="166">
        <v>40.505689176644211</v>
      </c>
      <c r="E137" s="166">
        <f t="shared" si="12"/>
        <v>40.505689176644211</v>
      </c>
      <c r="F137" s="188" t="str">
        <f t="shared" si="11"/>
        <v/>
      </c>
      <c r="H137" t="str">
        <f t="shared" si="14"/>
        <v/>
      </c>
      <c r="I137" s="188" t="str">
        <f t="shared" si="13"/>
        <v/>
      </c>
    </row>
    <row r="138" spans="1:9">
      <c r="A138">
        <v>135</v>
      </c>
      <c r="B138" s="46">
        <v>45579</v>
      </c>
      <c r="C138" s="166">
        <v>175.02548310063435</v>
      </c>
      <c r="D138" s="166">
        <v>40.505689176644211</v>
      </c>
      <c r="E138" s="166">
        <f t="shared" si="12"/>
        <v>40.505689176644211</v>
      </c>
      <c r="F138" s="188" t="str">
        <f t="shared" si="11"/>
        <v/>
      </c>
      <c r="G138" s="189" t="str">
        <f>IF(DAY(B138)=15,D138,"")</f>
        <v/>
      </c>
      <c r="H138" t="str">
        <f t="shared" si="14"/>
        <v/>
      </c>
      <c r="I138" s="188" t="str">
        <f t="shared" si="13"/>
        <v/>
      </c>
    </row>
    <row r="139" spans="1:9">
      <c r="A139">
        <v>136</v>
      </c>
      <c r="B139" s="46">
        <v>45580</v>
      </c>
      <c r="C139" s="166">
        <v>159.86040882463246</v>
      </c>
      <c r="D139" s="166">
        <v>40.505689176644211</v>
      </c>
      <c r="E139" s="166">
        <f t="shared" si="12"/>
        <v>40.505689176644211</v>
      </c>
      <c r="F139" s="188" t="str">
        <f t="shared" si="11"/>
        <v>O</v>
      </c>
      <c r="H139" t="str">
        <f t="shared" si="14"/>
        <v/>
      </c>
      <c r="I139" s="188" t="str">
        <f t="shared" si="13"/>
        <v>O</v>
      </c>
    </row>
    <row r="140" spans="1:9">
      <c r="A140">
        <v>137</v>
      </c>
      <c r="B140" s="46">
        <v>45581</v>
      </c>
      <c r="C140" s="166">
        <v>125.9213486946114</v>
      </c>
      <c r="D140" s="166">
        <v>40.505689176644211</v>
      </c>
      <c r="E140" s="166">
        <f t="shared" si="12"/>
        <v>40.505689176644211</v>
      </c>
      <c r="F140" s="188" t="str">
        <f t="shared" si="11"/>
        <v/>
      </c>
      <c r="H140" t="str">
        <f t="shared" si="14"/>
        <v/>
      </c>
      <c r="I140" s="188" t="str">
        <f t="shared" si="13"/>
        <v/>
      </c>
    </row>
    <row r="141" spans="1:9">
      <c r="A141">
        <v>138</v>
      </c>
      <c r="B141" s="46">
        <v>45582</v>
      </c>
      <c r="C141" s="166">
        <v>121.5896730726114</v>
      </c>
      <c r="D141" s="166">
        <v>40.505689176644211</v>
      </c>
      <c r="E141" s="166">
        <f t="shared" si="12"/>
        <v>40.505689176644211</v>
      </c>
      <c r="F141" s="188" t="str">
        <f t="shared" si="11"/>
        <v/>
      </c>
      <c r="H141" t="str">
        <f t="shared" si="14"/>
        <v/>
      </c>
      <c r="I141" s="188" t="str">
        <f t="shared" si="13"/>
        <v/>
      </c>
    </row>
    <row r="142" spans="1:9">
      <c r="A142">
        <v>139</v>
      </c>
      <c r="B142" s="46">
        <v>45583</v>
      </c>
      <c r="C142" s="166">
        <v>130.58842820161513</v>
      </c>
      <c r="D142" s="166">
        <v>40.505689176644211</v>
      </c>
      <c r="E142" s="166">
        <f t="shared" si="12"/>
        <v>40.505689176644211</v>
      </c>
      <c r="F142" s="188" t="str">
        <f t="shared" si="11"/>
        <v/>
      </c>
      <c r="H142" t="str">
        <f t="shared" si="14"/>
        <v/>
      </c>
      <c r="I142" s="188" t="str">
        <f t="shared" si="13"/>
        <v/>
      </c>
    </row>
    <row r="143" spans="1:9">
      <c r="A143">
        <v>140</v>
      </c>
      <c r="B143" s="46">
        <v>45584</v>
      </c>
      <c r="C143" s="166">
        <v>125.70113585760954</v>
      </c>
      <c r="D143" s="166">
        <v>40.505689176644211</v>
      </c>
      <c r="E143" s="166">
        <f t="shared" si="12"/>
        <v>40.505689176644211</v>
      </c>
      <c r="F143" s="188" t="str">
        <f t="shared" si="11"/>
        <v/>
      </c>
      <c r="H143" t="str">
        <f t="shared" si="14"/>
        <v/>
      </c>
      <c r="I143" s="188" t="str">
        <f t="shared" si="13"/>
        <v/>
      </c>
    </row>
    <row r="144" spans="1:9">
      <c r="A144">
        <v>141</v>
      </c>
      <c r="B144" s="46">
        <v>45585</v>
      </c>
      <c r="C144" s="166">
        <v>114.88872600161326</v>
      </c>
      <c r="D144" s="166">
        <v>40.505689176644211</v>
      </c>
      <c r="E144" s="166">
        <f t="shared" si="12"/>
        <v>40.505689176644211</v>
      </c>
      <c r="F144" s="188" t="str">
        <f t="shared" si="11"/>
        <v/>
      </c>
      <c r="H144" t="str">
        <f t="shared" si="14"/>
        <v/>
      </c>
      <c r="I144" s="188" t="str">
        <f t="shared" si="13"/>
        <v/>
      </c>
    </row>
    <row r="145" spans="1:9">
      <c r="A145">
        <v>142</v>
      </c>
      <c r="B145" s="46">
        <v>45586</v>
      </c>
      <c r="C145" s="166">
        <v>146.73080581060955</v>
      </c>
      <c r="D145" s="166">
        <v>40.505689176644211</v>
      </c>
      <c r="E145" s="166">
        <f t="shared" si="12"/>
        <v>40.505689176644211</v>
      </c>
      <c r="F145" s="188" t="str">
        <f t="shared" si="11"/>
        <v/>
      </c>
      <c r="H145" t="str">
        <f t="shared" si="14"/>
        <v/>
      </c>
      <c r="I145" s="188" t="str">
        <f t="shared" si="13"/>
        <v/>
      </c>
    </row>
    <row r="146" spans="1:9">
      <c r="A146">
        <v>143</v>
      </c>
      <c r="B146" s="46">
        <v>45587</v>
      </c>
      <c r="C146" s="166">
        <v>144.65192906961141</v>
      </c>
      <c r="D146" s="166">
        <v>40.505689176644211</v>
      </c>
      <c r="E146" s="166">
        <f t="shared" si="12"/>
        <v>40.505689176644211</v>
      </c>
      <c r="F146" s="188" t="str">
        <f t="shared" si="11"/>
        <v/>
      </c>
      <c r="H146" t="str">
        <f t="shared" si="14"/>
        <v/>
      </c>
      <c r="I146" s="188" t="str">
        <f t="shared" si="13"/>
        <v/>
      </c>
    </row>
    <row r="147" spans="1:9">
      <c r="A147">
        <v>144</v>
      </c>
      <c r="B147" s="46">
        <v>45588</v>
      </c>
      <c r="C147" s="166">
        <v>99.56140176153194</v>
      </c>
      <c r="D147" s="166">
        <v>40.505689176644211</v>
      </c>
      <c r="E147" s="166">
        <f t="shared" si="12"/>
        <v>40.505689176644211</v>
      </c>
      <c r="F147" s="188" t="str">
        <f t="shared" si="11"/>
        <v/>
      </c>
      <c r="H147" t="str">
        <f t="shared" si="14"/>
        <v/>
      </c>
      <c r="I147" s="188" t="str">
        <f t="shared" si="13"/>
        <v/>
      </c>
    </row>
    <row r="148" spans="1:9">
      <c r="A148">
        <v>145</v>
      </c>
      <c r="B148" s="46">
        <v>45589</v>
      </c>
      <c r="C148" s="166">
        <v>89.822734455530082</v>
      </c>
      <c r="D148" s="166">
        <v>40.505689176644211</v>
      </c>
      <c r="E148" s="166">
        <f t="shared" si="12"/>
        <v>40.505689176644211</v>
      </c>
      <c r="F148" s="188" t="str">
        <f t="shared" si="11"/>
        <v/>
      </c>
      <c r="H148" t="str">
        <f t="shared" si="14"/>
        <v/>
      </c>
      <c r="I148" s="188" t="str">
        <f t="shared" si="13"/>
        <v/>
      </c>
    </row>
    <row r="149" spans="1:9">
      <c r="A149">
        <v>146</v>
      </c>
      <c r="B149" s="46">
        <v>45590</v>
      </c>
      <c r="C149" s="166">
        <v>108.99365419853194</v>
      </c>
      <c r="D149" s="166">
        <v>40.505689176644211</v>
      </c>
      <c r="E149" s="166">
        <f t="shared" si="12"/>
        <v>40.505689176644211</v>
      </c>
      <c r="F149" s="188" t="str">
        <f t="shared" si="11"/>
        <v/>
      </c>
      <c r="H149" t="str">
        <f t="shared" si="14"/>
        <v/>
      </c>
      <c r="I149" s="188" t="str">
        <f t="shared" si="13"/>
        <v/>
      </c>
    </row>
    <row r="150" spans="1:9">
      <c r="A150">
        <v>147</v>
      </c>
      <c r="B150" s="46">
        <v>45591</v>
      </c>
      <c r="C150" s="166">
        <v>104.82100935853008</v>
      </c>
      <c r="D150" s="166">
        <v>40.505689176644211</v>
      </c>
      <c r="E150" s="166">
        <f t="shared" si="12"/>
        <v>40.505689176644211</v>
      </c>
      <c r="F150" s="188" t="str">
        <f t="shared" si="11"/>
        <v/>
      </c>
      <c r="H150" t="str">
        <f t="shared" si="14"/>
        <v/>
      </c>
      <c r="I150" s="188" t="str">
        <f t="shared" si="13"/>
        <v/>
      </c>
    </row>
    <row r="151" spans="1:9">
      <c r="A151">
        <v>148</v>
      </c>
      <c r="B151" s="46">
        <v>45592</v>
      </c>
      <c r="C151" s="166">
        <v>101.01872951353381</v>
      </c>
      <c r="D151" s="166">
        <v>40.505689176644211</v>
      </c>
      <c r="E151" s="166">
        <f t="shared" si="12"/>
        <v>40.505689176644211</v>
      </c>
      <c r="F151" s="188" t="str">
        <f t="shared" si="11"/>
        <v/>
      </c>
      <c r="H151" t="str">
        <f t="shared" si="14"/>
        <v/>
      </c>
      <c r="I151" s="188" t="str">
        <f t="shared" si="13"/>
        <v/>
      </c>
    </row>
    <row r="152" spans="1:9">
      <c r="A152">
        <v>149</v>
      </c>
      <c r="B152" s="46">
        <v>45593</v>
      </c>
      <c r="C152" s="166">
        <v>85.310415566530082</v>
      </c>
      <c r="D152" s="166">
        <v>40.505689176644211</v>
      </c>
      <c r="E152" s="166">
        <f t="shared" si="12"/>
        <v>40.505689176644211</v>
      </c>
      <c r="F152" s="188" t="str">
        <f t="shared" si="11"/>
        <v/>
      </c>
      <c r="H152" t="str">
        <f t="shared" si="14"/>
        <v/>
      </c>
      <c r="I152" s="188" t="str">
        <f t="shared" si="13"/>
        <v/>
      </c>
    </row>
    <row r="153" spans="1:9">
      <c r="A153">
        <v>150</v>
      </c>
      <c r="B153" s="46">
        <v>45594</v>
      </c>
      <c r="C153" s="166">
        <v>107.55351393853009</v>
      </c>
      <c r="D153" s="166">
        <v>40.505689176644211</v>
      </c>
      <c r="E153" s="166">
        <f t="shared" si="12"/>
        <v>40.505689176644211</v>
      </c>
      <c r="F153" s="188" t="str">
        <f t="shared" si="11"/>
        <v/>
      </c>
      <c r="H153" t="str">
        <f t="shared" si="14"/>
        <v/>
      </c>
      <c r="I153" s="188" t="str">
        <f t="shared" si="13"/>
        <v/>
      </c>
    </row>
    <row r="154" spans="1:9">
      <c r="A154">
        <v>151</v>
      </c>
      <c r="B154" s="46">
        <v>45595</v>
      </c>
      <c r="C154" s="166">
        <v>114.25556064982062</v>
      </c>
      <c r="D154" s="166">
        <v>40.505689176644211</v>
      </c>
      <c r="E154" s="166">
        <f t="shared" si="12"/>
        <v>40.505689176644211</v>
      </c>
      <c r="F154" s="188" t="str">
        <f t="shared" si="11"/>
        <v/>
      </c>
      <c r="H154" t="str">
        <f t="shared" si="14"/>
        <v/>
      </c>
      <c r="I154" s="188" t="str">
        <f t="shared" si="13"/>
        <v/>
      </c>
    </row>
    <row r="155" spans="1:9">
      <c r="A155">
        <v>152</v>
      </c>
      <c r="B155" s="46">
        <v>45596</v>
      </c>
      <c r="C155" s="166">
        <v>120.62257121381876</v>
      </c>
      <c r="D155" s="166">
        <v>40.505689176644211</v>
      </c>
      <c r="E155" s="166">
        <f t="shared" si="12"/>
        <v>40.505689176644211</v>
      </c>
      <c r="F155" s="188" t="str">
        <f t="shared" si="11"/>
        <v/>
      </c>
      <c r="H155" t="str">
        <f t="shared" si="14"/>
        <v/>
      </c>
      <c r="I155" s="188" t="str">
        <f t="shared" si="13"/>
        <v/>
      </c>
    </row>
    <row r="156" spans="1:9">
      <c r="A156">
        <v>153</v>
      </c>
      <c r="B156" s="46">
        <v>45597</v>
      </c>
      <c r="C156" s="166">
        <v>108.76862090582061</v>
      </c>
      <c r="D156" s="166">
        <v>82.040549235563063</v>
      </c>
      <c r="E156" s="166">
        <f t="shared" si="12"/>
        <v>82.040549235563063</v>
      </c>
      <c r="F156" s="188" t="str">
        <f t="shared" si="11"/>
        <v/>
      </c>
      <c r="H156" t="str">
        <f t="shared" si="14"/>
        <v/>
      </c>
      <c r="I156" s="188" t="str">
        <f t="shared" si="13"/>
        <v/>
      </c>
    </row>
    <row r="157" spans="1:9">
      <c r="A157">
        <v>154</v>
      </c>
      <c r="B157" s="46">
        <v>45598</v>
      </c>
      <c r="C157" s="166">
        <v>109.24002074981875</v>
      </c>
      <c r="D157" s="166">
        <v>82.040549235563063</v>
      </c>
      <c r="E157" s="166">
        <f t="shared" si="12"/>
        <v>82.040549235563063</v>
      </c>
      <c r="F157" s="188" t="str">
        <f t="shared" si="11"/>
        <v/>
      </c>
      <c r="H157" t="str">
        <f t="shared" si="14"/>
        <v/>
      </c>
      <c r="I157" s="188" t="str">
        <f t="shared" si="13"/>
        <v/>
      </c>
    </row>
    <row r="158" spans="1:9">
      <c r="A158">
        <v>155</v>
      </c>
      <c r="B158" s="46">
        <v>45599</v>
      </c>
      <c r="C158" s="166">
        <v>95.767610525818739</v>
      </c>
      <c r="D158" s="166">
        <v>82.040549235563063</v>
      </c>
      <c r="E158" s="166">
        <f t="shared" si="12"/>
        <v>82.040549235563063</v>
      </c>
      <c r="F158" s="188" t="str">
        <f t="shared" si="11"/>
        <v/>
      </c>
      <c r="H158" t="str">
        <f t="shared" si="14"/>
        <v/>
      </c>
      <c r="I158" s="188" t="str">
        <f t="shared" si="13"/>
        <v/>
      </c>
    </row>
    <row r="159" spans="1:9">
      <c r="A159">
        <v>156</v>
      </c>
      <c r="B159" s="46">
        <v>45600</v>
      </c>
      <c r="C159" s="166">
        <v>119.16915144981874</v>
      </c>
      <c r="D159" s="166">
        <v>82.040549235563063</v>
      </c>
      <c r="E159" s="166">
        <f t="shared" si="12"/>
        <v>82.040549235563063</v>
      </c>
      <c r="F159" s="188" t="str">
        <f t="shared" si="11"/>
        <v/>
      </c>
      <c r="H159" t="str">
        <f t="shared" si="14"/>
        <v/>
      </c>
      <c r="I159" s="188" t="str">
        <f t="shared" si="13"/>
        <v/>
      </c>
    </row>
    <row r="160" spans="1:9">
      <c r="A160">
        <v>157</v>
      </c>
      <c r="B160" s="46">
        <v>45601</v>
      </c>
      <c r="C160" s="166">
        <v>129.5796302458206</v>
      </c>
      <c r="D160" s="166">
        <v>82.040549235563063</v>
      </c>
      <c r="E160" s="166">
        <f t="shared" si="12"/>
        <v>82.040549235563063</v>
      </c>
      <c r="F160" s="188" t="str">
        <f t="shared" si="11"/>
        <v/>
      </c>
      <c r="H160" t="str">
        <f t="shared" si="14"/>
        <v/>
      </c>
      <c r="I160" s="188" t="str">
        <f t="shared" si="13"/>
        <v/>
      </c>
    </row>
    <row r="161" spans="1:9">
      <c r="A161">
        <v>158</v>
      </c>
      <c r="B161" s="46">
        <v>45602</v>
      </c>
      <c r="C161" s="166">
        <v>87.784054995033571</v>
      </c>
      <c r="D161" s="166">
        <v>82.040549235563063</v>
      </c>
      <c r="E161" s="166">
        <f t="shared" si="12"/>
        <v>82.040549235563063</v>
      </c>
      <c r="F161" s="188" t="str">
        <f t="shared" si="11"/>
        <v/>
      </c>
      <c r="H161" t="str">
        <f t="shared" si="14"/>
        <v/>
      </c>
      <c r="I161" s="188" t="str">
        <f t="shared" si="13"/>
        <v/>
      </c>
    </row>
    <row r="162" spans="1:9">
      <c r="A162">
        <v>159</v>
      </c>
      <c r="B162" s="46">
        <v>45603</v>
      </c>
      <c r="C162" s="166">
        <v>88.959883919029849</v>
      </c>
      <c r="D162" s="166">
        <v>82.040549235563063</v>
      </c>
      <c r="E162" s="166">
        <f t="shared" si="12"/>
        <v>82.040549235563063</v>
      </c>
      <c r="F162" s="188" t="str">
        <f t="shared" si="11"/>
        <v/>
      </c>
      <c r="H162" t="str">
        <f t="shared" si="14"/>
        <v/>
      </c>
      <c r="I162" s="188" t="str">
        <f t="shared" si="13"/>
        <v/>
      </c>
    </row>
    <row r="163" spans="1:9">
      <c r="A163">
        <v>160</v>
      </c>
      <c r="B163" s="46">
        <v>45604</v>
      </c>
      <c r="C163" s="166">
        <v>102.86864674303358</v>
      </c>
      <c r="D163" s="166">
        <v>82.040549235563063</v>
      </c>
      <c r="E163" s="166">
        <f t="shared" si="12"/>
        <v>82.040549235563063</v>
      </c>
      <c r="F163" s="188" t="str">
        <f t="shared" si="11"/>
        <v/>
      </c>
      <c r="H163" t="str">
        <f t="shared" si="14"/>
        <v/>
      </c>
      <c r="I163" s="188" t="str">
        <f t="shared" si="13"/>
        <v/>
      </c>
    </row>
    <row r="164" spans="1:9">
      <c r="A164">
        <v>161</v>
      </c>
      <c r="B164" s="46">
        <v>45605</v>
      </c>
      <c r="C164" s="166">
        <v>68.990421255031706</v>
      </c>
      <c r="D164" s="166">
        <v>82.040549235563063</v>
      </c>
      <c r="E164" s="166">
        <f t="shared" si="12"/>
        <v>68.990421255031706</v>
      </c>
      <c r="F164" s="188" t="str">
        <f t="shared" si="11"/>
        <v/>
      </c>
      <c r="H164" t="str">
        <f t="shared" si="14"/>
        <v/>
      </c>
      <c r="I164" s="188" t="str">
        <f t="shared" si="13"/>
        <v/>
      </c>
    </row>
    <row r="165" spans="1:9">
      <c r="A165">
        <v>162</v>
      </c>
      <c r="B165" s="46">
        <v>45606</v>
      </c>
      <c r="C165" s="166">
        <v>48.830029151029841</v>
      </c>
      <c r="D165" s="166">
        <v>82.040549235563063</v>
      </c>
      <c r="E165" s="166">
        <f t="shared" si="12"/>
        <v>48.830029151029841</v>
      </c>
      <c r="F165" s="188" t="str">
        <f t="shared" si="11"/>
        <v/>
      </c>
      <c r="H165" t="str">
        <f t="shared" si="14"/>
        <v/>
      </c>
      <c r="I165" s="188" t="str">
        <f t="shared" si="13"/>
        <v/>
      </c>
    </row>
    <row r="166" spans="1:9">
      <c r="A166">
        <v>163</v>
      </c>
      <c r="B166" s="46">
        <v>45607</v>
      </c>
      <c r="C166" s="166">
        <v>48.744043399035434</v>
      </c>
      <c r="D166" s="166">
        <v>82.040549235563063</v>
      </c>
      <c r="E166" s="166">
        <f t="shared" si="12"/>
        <v>48.744043399035434</v>
      </c>
      <c r="F166" s="188" t="str">
        <f t="shared" si="11"/>
        <v/>
      </c>
      <c r="H166" t="str">
        <f t="shared" si="14"/>
        <v/>
      </c>
      <c r="I166" s="188" t="str">
        <f t="shared" si="13"/>
        <v/>
      </c>
    </row>
    <row r="167" spans="1:9">
      <c r="A167">
        <v>164</v>
      </c>
      <c r="B167" s="46">
        <v>45608</v>
      </c>
      <c r="C167" s="166">
        <v>40.111187227031714</v>
      </c>
      <c r="D167" s="166">
        <v>82.040549235563063</v>
      </c>
      <c r="E167" s="166">
        <f t="shared" si="12"/>
        <v>40.111187227031714</v>
      </c>
      <c r="F167" s="188" t="str">
        <f t="shared" si="11"/>
        <v/>
      </c>
      <c r="H167" t="str">
        <f t="shared" si="14"/>
        <v/>
      </c>
      <c r="I167" s="188" t="str">
        <f t="shared" si="13"/>
        <v/>
      </c>
    </row>
    <row r="168" spans="1:9">
      <c r="A168">
        <v>165</v>
      </c>
      <c r="B168" s="46">
        <v>45609</v>
      </c>
      <c r="C168" s="166">
        <v>68.92554444516648</v>
      </c>
      <c r="D168" s="166">
        <v>82.040549235563063</v>
      </c>
      <c r="E168" s="166">
        <f t="shared" si="12"/>
        <v>68.92554444516648</v>
      </c>
      <c r="F168" s="188" t="str">
        <f t="shared" si="11"/>
        <v/>
      </c>
      <c r="H168" t="str">
        <f t="shared" si="14"/>
        <v/>
      </c>
      <c r="I168" s="188" t="str">
        <f t="shared" si="13"/>
        <v/>
      </c>
    </row>
    <row r="169" spans="1:9">
      <c r="A169">
        <v>166</v>
      </c>
      <c r="B169" s="46">
        <v>45610</v>
      </c>
      <c r="C169" s="166">
        <v>75.349298657168347</v>
      </c>
      <c r="D169" s="166">
        <v>82.040549235563063</v>
      </c>
      <c r="E169" s="166">
        <f t="shared" si="12"/>
        <v>75.349298657168347</v>
      </c>
      <c r="F169" s="188" t="str">
        <f t="shared" si="11"/>
        <v/>
      </c>
      <c r="G169" s="189" t="str">
        <f>IF(DAY(B169)=15,D169,"")</f>
        <v/>
      </c>
      <c r="H169" t="str">
        <f t="shared" si="14"/>
        <v/>
      </c>
      <c r="I169" s="188" t="str">
        <f t="shared" si="13"/>
        <v/>
      </c>
    </row>
    <row r="170" spans="1:9">
      <c r="A170">
        <v>167</v>
      </c>
      <c r="B170" s="46">
        <v>45611</v>
      </c>
      <c r="C170" s="166">
        <v>68.27269855316834</v>
      </c>
      <c r="D170" s="166">
        <v>82.040549235563063</v>
      </c>
      <c r="E170" s="166">
        <f t="shared" si="12"/>
        <v>68.27269855316834</v>
      </c>
      <c r="F170" s="188" t="str">
        <f t="shared" si="11"/>
        <v>N</v>
      </c>
      <c r="H170" t="str">
        <f t="shared" si="14"/>
        <v/>
      </c>
      <c r="I170" s="188" t="str">
        <f t="shared" si="13"/>
        <v>N</v>
      </c>
    </row>
    <row r="171" spans="1:9">
      <c r="A171">
        <v>168</v>
      </c>
      <c r="B171" s="46">
        <v>45612</v>
      </c>
      <c r="C171" s="166">
        <v>58.901813425168335</v>
      </c>
      <c r="D171" s="166">
        <v>82.040549235563063</v>
      </c>
      <c r="E171" s="166">
        <f t="shared" si="12"/>
        <v>58.901813425168335</v>
      </c>
      <c r="F171" s="188" t="str">
        <f t="shared" si="11"/>
        <v/>
      </c>
      <c r="H171" t="str">
        <f t="shared" si="14"/>
        <v/>
      </c>
      <c r="I171" s="188" t="str">
        <f t="shared" si="13"/>
        <v/>
      </c>
    </row>
    <row r="172" spans="1:9">
      <c r="A172">
        <v>169</v>
      </c>
      <c r="B172" s="46">
        <v>45613</v>
      </c>
      <c r="C172" s="166">
        <v>58.648718901168337</v>
      </c>
      <c r="D172" s="166">
        <v>82.040549235563063</v>
      </c>
      <c r="E172" s="166">
        <f t="shared" si="12"/>
        <v>58.648718901168337</v>
      </c>
      <c r="F172" s="188" t="str">
        <f t="shared" si="11"/>
        <v/>
      </c>
      <c r="H172" t="str">
        <f t="shared" si="14"/>
        <v/>
      </c>
      <c r="I172" s="188" t="str">
        <f t="shared" si="13"/>
        <v/>
      </c>
    </row>
    <row r="173" spans="1:9">
      <c r="A173">
        <v>170</v>
      </c>
      <c r="B173" s="46">
        <v>45614</v>
      </c>
      <c r="C173" s="166">
        <v>72.756647989168343</v>
      </c>
      <c r="D173" s="166">
        <v>82.040549235563063</v>
      </c>
      <c r="E173" s="166">
        <f t="shared" si="12"/>
        <v>72.756647989168343</v>
      </c>
      <c r="F173" s="188" t="str">
        <f t="shared" si="11"/>
        <v/>
      </c>
      <c r="H173" t="str">
        <f t="shared" si="14"/>
        <v/>
      </c>
      <c r="I173" s="188" t="str">
        <f t="shared" si="13"/>
        <v/>
      </c>
    </row>
    <row r="174" spans="1:9">
      <c r="A174">
        <v>171</v>
      </c>
      <c r="B174" s="46">
        <v>45615</v>
      </c>
      <c r="C174" s="166">
        <v>61.97943983716835</v>
      </c>
      <c r="D174" s="166">
        <v>82.040549235563063</v>
      </c>
      <c r="E174" s="166">
        <f t="shared" si="12"/>
        <v>61.97943983716835</v>
      </c>
      <c r="F174" s="188" t="str">
        <f t="shared" si="11"/>
        <v/>
      </c>
      <c r="H174" t="str">
        <f t="shared" si="14"/>
        <v/>
      </c>
      <c r="I174" s="188" t="str">
        <f t="shared" si="13"/>
        <v/>
      </c>
    </row>
    <row r="175" spans="1:9">
      <c r="A175">
        <v>172</v>
      </c>
      <c r="B175" s="46">
        <v>45616</v>
      </c>
      <c r="C175" s="166">
        <v>57.658339443207119</v>
      </c>
      <c r="D175" s="166">
        <v>82.040549235563063</v>
      </c>
      <c r="E175" s="166">
        <f t="shared" si="12"/>
        <v>57.658339443207119</v>
      </c>
      <c r="F175" s="188" t="str">
        <f t="shared" si="11"/>
        <v/>
      </c>
      <c r="H175" t="str">
        <f t="shared" si="14"/>
        <v/>
      </c>
      <c r="I175" s="188" t="str">
        <f t="shared" si="13"/>
        <v/>
      </c>
    </row>
    <row r="176" spans="1:9">
      <c r="A176">
        <v>173</v>
      </c>
      <c r="B176" s="46">
        <v>45617</v>
      </c>
      <c r="C176" s="166">
        <v>54.582812007208979</v>
      </c>
      <c r="D176" s="166">
        <v>82.040549235563063</v>
      </c>
      <c r="E176" s="166">
        <f t="shared" si="12"/>
        <v>54.582812007208979</v>
      </c>
      <c r="F176" s="188" t="str">
        <f t="shared" si="11"/>
        <v/>
      </c>
      <c r="H176" t="str">
        <f t="shared" si="14"/>
        <v/>
      </c>
      <c r="I176" s="188" t="str">
        <f t="shared" si="13"/>
        <v/>
      </c>
    </row>
    <row r="177" spans="1:9">
      <c r="A177">
        <v>174</v>
      </c>
      <c r="B177" s="46">
        <v>45618</v>
      </c>
      <c r="C177" s="166">
        <v>77.586020579208977</v>
      </c>
      <c r="D177" s="166">
        <v>82.040549235563063</v>
      </c>
      <c r="E177" s="166">
        <f t="shared" si="12"/>
        <v>77.586020579208977</v>
      </c>
      <c r="F177" s="188" t="str">
        <f t="shared" si="11"/>
        <v/>
      </c>
      <c r="H177" t="str">
        <f t="shared" si="14"/>
        <v/>
      </c>
      <c r="I177" s="188" t="str">
        <f t="shared" si="13"/>
        <v/>
      </c>
    </row>
    <row r="178" spans="1:9">
      <c r="A178">
        <v>175</v>
      </c>
      <c r="B178" s="46">
        <v>45619</v>
      </c>
      <c r="C178" s="166">
        <v>44.323642247205257</v>
      </c>
      <c r="D178" s="166">
        <v>82.040549235563063</v>
      </c>
      <c r="E178" s="166">
        <f t="shared" si="12"/>
        <v>44.323642247205257</v>
      </c>
      <c r="F178" s="188" t="str">
        <f t="shared" si="11"/>
        <v/>
      </c>
      <c r="H178" t="str">
        <f t="shared" si="14"/>
        <v/>
      </c>
      <c r="I178" s="188" t="str">
        <f t="shared" si="13"/>
        <v/>
      </c>
    </row>
    <row r="179" spans="1:9">
      <c r="A179">
        <v>176</v>
      </c>
      <c r="B179" s="46">
        <v>45620</v>
      </c>
      <c r="C179" s="166">
        <v>44.593260563208986</v>
      </c>
      <c r="D179" s="166">
        <v>82.040549235563063</v>
      </c>
      <c r="E179" s="166">
        <f t="shared" si="12"/>
        <v>44.593260563208986</v>
      </c>
      <c r="F179" s="188" t="str">
        <f t="shared" si="11"/>
        <v/>
      </c>
      <c r="H179" t="str">
        <f t="shared" si="14"/>
        <v/>
      </c>
      <c r="I179" s="188" t="str">
        <f t="shared" si="13"/>
        <v/>
      </c>
    </row>
    <row r="180" spans="1:9">
      <c r="A180">
        <v>177</v>
      </c>
      <c r="B180" s="46">
        <v>45621</v>
      </c>
      <c r="C180" s="166">
        <v>66.958570435208983</v>
      </c>
      <c r="D180" s="166">
        <v>82.040549235563063</v>
      </c>
      <c r="E180" s="166">
        <f t="shared" si="12"/>
        <v>66.958570435208983</v>
      </c>
      <c r="F180" s="188" t="str">
        <f t="shared" si="11"/>
        <v/>
      </c>
      <c r="H180" t="str">
        <f t="shared" si="14"/>
        <v/>
      </c>
      <c r="I180" s="188" t="str">
        <f t="shared" si="13"/>
        <v/>
      </c>
    </row>
    <row r="181" spans="1:9">
      <c r="A181">
        <v>178</v>
      </c>
      <c r="B181" s="46">
        <v>45622</v>
      </c>
      <c r="C181" s="166">
        <v>92.805289711207124</v>
      </c>
      <c r="D181" s="166">
        <v>82.040549235563063</v>
      </c>
      <c r="E181" s="166">
        <f t="shared" si="12"/>
        <v>82.040549235563063</v>
      </c>
      <c r="F181" s="188" t="str">
        <f t="shared" si="11"/>
        <v/>
      </c>
      <c r="H181" t="str">
        <f t="shared" si="14"/>
        <v/>
      </c>
      <c r="I181" s="188" t="str">
        <f t="shared" si="13"/>
        <v/>
      </c>
    </row>
    <row r="182" spans="1:9">
      <c r="A182">
        <v>179</v>
      </c>
      <c r="B182" s="46">
        <v>45623</v>
      </c>
      <c r="C182" s="166">
        <v>88.930039110948542</v>
      </c>
      <c r="D182" s="166">
        <v>82.040549235563063</v>
      </c>
      <c r="E182" s="166">
        <f t="shared" si="12"/>
        <v>82.040549235563063</v>
      </c>
      <c r="F182" s="188" t="str">
        <f t="shared" si="11"/>
        <v/>
      </c>
      <c r="H182" t="str">
        <f t="shared" si="14"/>
        <v/>
      </c>
      <c r="I182" s="188" t="str">
        <f t="shared" si="13"/>
        <v/>
      </c>
    </row>
    <row r="183" spans="1:9">
      <c r="A183">
        <v>180</v>
      </c>
      <c r="B183" s="46">
        <v>45624</v>
      </c>
      <c r="C183" s="166">
        <v>87.891229222946663</v>
      </c>
      <c r="D183" s="166">
        <v>82.040549235563063</v>
      </c>
      <c r="E183" s="166">
        <f t="shared" si="12"/>
        <v>82.040549235563063</v>
      </c>
      <c r="F183" s="188" t="str">
        <f t="shared" si="11"/>
        <v/>
      </c>
      <c r="H183" t="str">
        <f t="shared" si="14"/>
        <v/>
      </c>
      <c r="I183" s="188" t="str">
        <f t="shared" si="13"/>
        <v/>
      </c>
    </row>
    <row r="184" spans="1:9">
      <c r="A184">
        <v>181</v>
      </c>
      <c r="B184" s="46">
        <v>45625</v>
      </c>
      <c r="C184" s="166">
        <v>83.703371382946671</v>
      </c>
      <c r="D184" s="166">
        <v>82.040549235563063</v>
      </c>
      <c r="E184" s="166">
        <f t="shared" si="12"/>
        <v>82.040549235563063</v>
      </c>
      <c r="F184" s="188" t="str">
        <f t="shared" si="11"/>
        <v/>
      </c>
      <c r="H184" t="str">
        <f t="shared" si="14"/>
        <v/>
      </c>
      <c r="I184" s="188" t="str">
        <f t="shared" si="13"/>
        <v/>
      </c>
    </row>
    <row r="185" spans="1:9">
      <c r="A185">
        <v>182</v>
      </c>
      <c r="B185" s="46">
        <v>45626</v>
      </c>
      <c r="C185" s="166">
        <v>75.625630506946678</v>
      </c>
      <c r="D185" s="166">
        <v>82.040549235563063</v>
      </c>
      <c r="E185" s="166">
        <f t="shared" si="12"/>
        <v>75.625630506946678</v>
      </c>
      <c r="F185" s="188" t="str">
        <f t="shared" si="11"/>
        <v/>
      </c>
      <c r="H185" t="str">
        <f t="shared" si="14"/>
        <v/>
      </c>
      <c r="I185" s="188" t="str">
        <f t="shared" si="13"/>
        <v/>
      </c>
    </row>
    <row r="186" spans="1:9">
      <c r="A186">
        <v>183</v>
      </c>
      <c r="B186" s="46">
        <v>45627</v>
      </c>
      <c r="C186" s="166">
        <v>83.340873374948544</v>
      </c>
      <c r="D186" s="166">
        <v>104.34579689704225</v>
      </c>
      <c r="E186" s="166">
        <f t="shared" si="12"/>
        <v>83.340873374948544</v>
      </c>
      <c r="F186" s="188" t="str">
        <f t="shared" si="11"/>
        <v/>
      </c>
      <c r="H186" t="str">
        <f t="shared" si="14"/>
        <v/>
      </c>
      <c r="I186" s="188" t="str">
        <f t="shared" si="13"/>
        <v/>
      </c>
    </row>
    <row r="187" spans="1:9">
      <c r="A187">
        <v>184</v>
      </c>
      <c r="B187" s="46">
        <v>45628</v>
      </c>
      <c r="C187" s="166">
        <v>89.493504218946683</v>
      </c>
      <c r="D187" s="166">
        <v>104.34579689704225</v>
      </c>
      <c r="E187" s="166">
        <f t="shared" si="12"/>
        <v>89.493504218946683</v>
      </c>
      <c r="F187" s="188" t="str">
        <f t="shared" si="11"/>
        <v/>
      </c>
      <c r="H187" t="str">
        <f t="shared" si="14"/>
        <v/>
      </c>
      <c r="I187" s="188" t="str">
        <f t="shared" si="13"/>
        <v/>
      </c>
    </row>
    <row r="188" spans="1:9">
      <c r="A188">
        <v>185</v>
      </c>
      <c r="B188" s="46">
        <v>45629</v>
      </c>
      <c r="C188" s="166">
        <v>85.292821534948544</v>
      </c>
      <c r="D188" s="166">
        <v>104.34579689704225</v>
      </c>
      <c r="E188" s="166">
        <f t="shared" si="12"/>
        <v>85.292821534948544</v>
      </c>
      <c r="F188" s="188" t="str">
        <f t="shared" si="11"/>
        <v/>
      </c>
      <c r="H188" t="str">
        <f t="shared" si="14"/>
        <v/>
      </c>
      <c r="I188" s="188" t="str">
        <f t="shared" si="13"/>
        <v/>
      </c>
    </row>
    <row r="189" spans="1:9">
      <c r="A189">
        <v>186</v>
      </c>
      <c r="B189" s="46">
        <v>45630</v>
      </c>
      <c r="C189" s="166">
        <v>79.073749727937155</v>
      </c>
      <c r="D189" s="166">
        <v>104.34579689704225</v>
      </c>
      <c r="E189" s="166">
        <f t="shared" si="12"/>
        <v>79.073749727937155</v>
      </c>
      <c r="F189" s="188" t="str">
        <f t="shared" si="11"/>
        <v/>
      </c>
      <c r="H189" t="str">
        <f t="shared" si="14"/>
        <v/>
      </c>
      <c r="I189" s="188" t="str">
        <f t="shared" si="13"/>
        <v/>
      </c>
    </row>
    <row r="190" spans="1:9">
      <c r="A190">
        <v>187</v>
      </c>
      <c r="B190" s="46">
        <v>45631</v>
      </c>
      <c r="C190" s="166">
        <v>78.918242007935291</v>
      </c>
      <c r="D190" s="166">
        <v>104.34579689704225</v>
      </c>
      <c r="E190" s="166">
        <f t="shared" si="12"/>
        <v>78.918242007935291</v>
      </c>
      <c r="F190" s="188" t="str">
        <f t="shared" si="11"/>
        <v/>
      </c>
      <c r="H190" t="str">
        <f t="shared" si="14"/>
        <v/>
      </c>
      <c r="I190" s="188" t="str">
        <f t="shared" si="13"/>
        <v/>
      </c>
    </row>
    <row r="191" spans="1:9">
      <c r="A191">
        <v>188</v>
      </c>
      <c r="B191" s="46">
        <v>45632</v>
      </c>
      <c r="C191" s="166">
        <v>64.075719263935298</v>
      </c>
      <c r="D191" s="166">
        <v>104.34579689704225</v>
      </c>
      <c r="E191" s="166">
        <f t="shared" si="12"/>
        <v>64.075719263935298</v>
      </c>
      <c r="F191" s="188" t="str">
        <f t="shared" si="11"/>
        <v/>
      </c>
      <c r="H191" t="str">
        <f t="shared" si="14"/>
        <v/>
      </c>
      <c r="I191" s="188" t="str">
        <f t="shared" si="13"/>
        <v/>
      </c>
    </row>
    <row r="192" spans="1:9">
      <c r="A192">
        <v>189</v>
      </c>
      <c r="B192" s="46">
        <v>45633</v>
      </c>
      <c r="C192" s="166">
        <v>40.149759339937155</v>
      </c>
      <c r="D192" s="166">
        <v>104.34579689704225</v>
      </c>
      <c r="E192" s="166">
        <f t="shared" si="12"/>
        <v>40.149759339937155</v>
      </c>
      <c r="F192" s="188" t="str">
        <f t="shared" si="11"/>
        <v/>
      </c>
      <c r="H192" t="str">
        <f t="shared" si="14"/>
        <v/>
      </c>
      <c r="I192" s="188" t="str">
        <f t="shared" si="13"/>
        <v/>
      </c>
    </row>
    <row r="193" spans="1:9">
      <c r="A193">
        <v>190</v>
      </c>
      <c r="B193" s="46">
        <v>45634</v>
      </c>
      <c r="C193" s="166">
        <v>38.793037971937153</v>
      </c>
      <c r="D193" s="166">
        <v>104.34579689704225</v>
      </c>
      <c r="E193" s="166">
        <f t="shared" si="12"/>
        <v>38.793037971937153</v>
      </c>
      <c r="F193" s="188" t="str">
        <f t="shared" si="11"/>
        <v/>
      </c>
      <c r="H193" t="str">
        <f t="shared" si="14"/>
        <v/>
      </c>
      <c r="I193" s="188" t="str">
        <f t="shared" si="13"/>
        <v/>
      </c>
    </row>
    <row r="194" spans="1:9">
      <c r="A194">
        <v>191</v>
      </c>
      <c r="B194" s="46">
        <v>45635</v>
      </c>
      <c r="C194" s="166">
        <v>63.311381991937154</v>
      </c>
      <c r="D194" s="166">
        <v>104.34579689704225</v>
      </c>
      <c r="E194" s="166">
        <f t="shared" si="12"/>
        <v>63.311381991937154</v>
      </c>
      <c r="F194" s="188" t="str">
        <f t="shared" si="11"/>
        <v/>
      </c>
      <c r="H194" t="str">
        <f t="shared" si="14"/>
        <v/>
      </c>
      <c r="I194" s="188" t="str">
        <f t="shared" si="13"/>
        <v/>
      </c>
    </row>
    <row r="195" spans="1:9">
      <c r="A195">
        <v>192</v>
      </c>
      <c r="B195" s="46">
        <v>45636</v>
      </c>
      <c r="C195" s="166">
        <v>102.48415081593529</v>
      </c>
      <c r="D195" s="166">
        <v>104.34579689704225</v>
      </c>
      <c r="E195" s="166">
        <f t="shared" si="12"/>
        <v>102.48415081593529</v>
      </c>
      <c r="F195" s="188" t="str">
        <f t="shared" ref="F195:F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t="str">
        <f t="shared" si="14"/>
        <v/>
      </c>
      <c r="I195" s="188" t="str">
        <f t="shared" si="13"/>
        <v/>
      </c>
    </row>
    <row r="196" spans="1:9">
      <c r="A196">
        <v>193</v>
      </c>
      <c r="B196" s="46">
        <v>45637</v>
      </c>
      <c r="C196" s="166">
        <v>108.21798146243319</v>
      </c>
      <c r="D196" s="166">
        <v>104.34579689704225</v>
      </c>
      <c r="E196" s="166">
        <f t="shared" ref="E196:E259" si="16">IF(C196&lt;D196,C196,D196)</f>
        <v>104.34579689704225</v>
      </c>
      <c r="F196" s="188" t="str">
        <f t="shared" si="15"/>
        <v/>
      </c>
      <c r="H196" t="str">
        <f t="shared" si="14"/>
        <v/>
      </c>
      <c r="I196" s="188" t="str">
        <f t="shared" ref="I196:I259" si="1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9">
      <c r="A197">
        <v>194</v>
      </c>
      <c r="B197" s="46">
        <v>45638</v>
      </c>
      <c r="C197" s="166">
        <v>113.79107090243134</v>
      </c>
      <c r="D197" s="166">
        <v>104.34579689704225</v>
      </c>
      <c r="E197" s="166">
        <f t="shared" si="16"/>
        <v>104.34579689704225</v>
      </c>
      <c r="F197" s="188" t="str">
        <f t="shared" si="15"/>
        <v/>
      </c>
      <c r="H197" t="str">
        <f t="shared" ref="H197:H260" si="18">IF(MONTH(B197)=1,IF(DAY(B197)=1,YEAR(B197),""),"")</f>
        <v/>
      </c>
      <c r="I197" s="188" t="str">
        <f t="shared" si="17"/>
        <v/>
      </c>
    </row>
    <row r="198" spans="1:9">
      <c r="A198">
        <v>195</v>
      </c>
      <c r="B198" s="46">
        <v>45639</v>
      </c>
      <c r="C198" s="166">
        <v>110.81075029043133</v>
      </c>
      <c r="D198" s="166">
        <v>104.34579689704225</v>
      </c>
      <c r="E198" s="166">
        <f t="shared" si="16"/>
        <v>104.34579689704225</v>
      </c>
      <c r="F198" s="188" t="str">
        <f t="shared" si="15"/>
        <v/>
      </c>
      <c r="H198" t="str">
        <f t="shared" si="18"/>
        <v/>
      </c>
      <c r="I198" s="188" t="str">
        <f t="shared" si="17"/>
        <v/>
      </c>
    </row>
    <row r="199" spans="1:9">
      <c r="A199">
        <v>196</v>
      </c>
      <c r="B199" s="46">
        <v>45640</v>
      </c>
      <c r="C199" s="166">
        <v>80.217872350431335</v>
      </c>
      <c r="D199" s="166">
        <v>104.34579689704225</v>
      </c>
      <c r="E199" s="166">
        <f t="shared" si="16"/>
        <v>80.217872350431335</v>
      </c>
      <c r="F199" s="188" t="str">
        <f t="shared" si="15"/>
        <v/>
      </c>
      <c r="G199" s="189" t="str">
        <f>IF(DAY(B199)=15,D199,"")</f>
        <v/>
      </c>
      <c r="H199" t="str">
        <f t="shared" si="18"/>
        <v/>
      </c>
      <c r="I199" s="188" t="str">
        <f t="shared" si="17"/>
        <v/>
      </c>
    </row>
    <row r="200" spans="1:9">
      <c r="A200">
        <v>197</v>
      </c>
      <c r="B200" s="46">
        <v>45641</v>
      </c>
      <c r="C200" s="166">
        <v>39.711118074433195</v>
      </c>
      <c r="D200" s="166">
        <v>104.34579689704225</v>
      </c>
      <c r="E200" s="166">
        <f t="shared" si="16"/>
        <v>39.711118074433195</v>
      </c>
      <c r="F200" s="188" t="str">
        <f t="shared" si="15"/>
        <v>D</v>
      </c>
      <c r="H200" t="str">
        <f t="shared" si="18"/>
        <v/>
      </c>
      <c r="I200" s="188" t="str">
        <f t="shared" si="17"/>
        <v>D</v>
      </c>
    </row>
    <row r="201" spans="1:9">
      <c r="A201">
        <v>198</v>
      </c>
      <c r="B201" s="46">
        <v>45642</v>
      </c>
      <c r="C201" s="166">
        <v>64.083001914433197</v>
      </c>
      <c r="D201" s="166">
        <v>104.34579689704225</v>
      </c>
      <c r="E201" s="166">
        <f t="shared" si="16"/>
        <v>64.083001914433197</v>
      </c>
      <c r="F201" s="188" t="str">
        <f t="shared" si="15"/>
        <v/>
      </c>
      <c r="H201" t="str">
        <f t="shared" si="18"/>
        <v/>
      </c>
      <c r="I201" s="188" t="str">
        <f t="shared" si="17"/>
        <v/>
      </c>
    </row>
    <row r="202" spans="1:9">
      <c r="A202">
        <v>199</v>
      </c>
      <c r="B202" s="46">
        <v>45643</v>
      </c>
      <c r="C202" s="166">
        <v>70.465533982431324</v>
      </c>
      <c r="D202" s="166">
        <v>104.34579689704225</v>
      </c>
      <c r="E202" s="166">
        <f t="shared" si="16"/>
        <v>70.465533982431324</v>
      </c>
      <c r="F202" s="188" t="str">
        <f t="shared" si="15"/>
        <v/>
      </c>
      <c r="H202" t="str">
        <f t="shared" si="18"/>
        <v/>
      </c>
      <c r="I202" s="188" t="str">
        <f t="shared" si="17"/>
        <v/>
      </c>
    </row>
    <row r="203" spans="1:9">
      <c r="A203">
        <v>200</v>
      </c>
      <c r="B203" s="46">
        <v>45644</v>
      </c>
      <c r="C203" s="166">
        <v>92.589848698818443</v>
      </c>
      <c r="D203" s="166">
        <v>104.34579689704225</v>
      </c>
      <c r="E203" s="166">
        <f t="shared" si="16"/>
        <v>92.589848698818443</v>
      </c>
      <c r="F203" s="188" t="str">
        <f t="shared" si="15"/>
        <v/>
      </c>
      <c r="H203" t="str">
        <f t="shared" si="18"/>
        <v/>
      </c>
      <c r="I203" s="188" t="str">
        <f t="shared" si="17"/>
        <v/>
      </c>
    </row>
    <row r="204" spans="1:9">
      <c r="A204">
        <v>201</v>
      </c>
      <c r="B204" s="46">
        <v>45645</v>
      </c>
      <c r="C204" s="166">
        <v>75.700622666816571</v>
      </c>
      <c r="D204" s="166">
        <v>104.34579689704225</v>
      </c>
      <c r="E204" s="166">
        <f t="shared" si="16"/>
        <v>75.700622666816571</v>
      </c>
      <c r="F204" s="188" t="str">
        <f t="shared" si="15"/>
        <v/>
      </c>
      <c r="H204" t="str">
        <f t="shared" si="18"/>
        <v/>
      </c>
      <c r="I204" s="188" t="str">
        <f t="shared" si="17"/>
        <v/>
      </c>
    </row>
    <row r="205" spans="1:9">
      <c r="A205">
        <v>202</v>
      </c>
      <c r="B205" s="46">
        <v>45646</v>
      </c>
      <c r="C205" s="166">
        <v>92.443503002818446</v>
      </c>
      <c r="D205" s="166">
        <v>104.34579689704225</v>
      </c>
      <c r="E205" s="166">
        <f t="shared" si="16"/>
        <v>92.443503002818446</v>
      </c>
      <c r="F205" s="188" t="str">
        <f t="shared" si="15"/>
        <v/>
      </c>
      <c r="H205" t="str">
        <f t="shared" si="18"/>
        <v/>
      </c>
      <c r="I205" s="188" t="str">
        <f t="shared" si="17"/>
        <v/>
      </c>
    </row>
    <row r="206" spans="1:9">
      <c r="A206">
        <v>203</v>
      </c>
      <c r="B206" s="46">
        <v>45647</v>
      </c>
      <c r="C206" s="166">
        <v>78.194941970816586</v>
      </c>
      <c r="D206" s="166">
        <v>104.34579689704225</v>
      </c>
      <c r="E206" s="166">
        <f t="shared" si="16"/>
        <v>78.194941970816586</v>
      </c>
      <c r="F206" s="188" t="str">
        <f t="shared" si="15"/>
        <v/>
      </c>
      <c r="H206" t="str">
        <f t="shared" si="18"/>
        <v/>
      </c>
      <c r="I206" s="188" t="str">
        <f t="shared" si="17"/>
        <v/>
      </c>
    </row>
    <row r="207" spans="1:9">
      <c r="A207">
        <v>204</v>
      </c>
      <c r="B207" s="46">
        <v>45648</v>
      </c>
      <c r="C207" s="166">
        <v>61.788172530818443</v>
      </c>
      <c r="D207" s="166">
        <v>104.34579689704225</v>
      </c>
      <c r="E207" s="166">
        <f t="shared" si="16"/>
        <v>61.788172530818443</v>
      </c>
      <c r="F207" s="188" t="str">
        <f t="shared" si="15"/>
        <v/>
      </c>
      <c r="H207" t="str">
        <f t="shared" si="18"/>
        <v/>
      </c>
      <c r="I207" s="188" t="str">
        <f t="shared" si="17"/>
        <v/>
      </c>
    </row>
    <row r="208" spans="1:9">
      <c r="A208">
        <v>205</v>
      </c>
      <c r="B208" s="46">
        <v>45649</v>
      </c>
      <c r="C208" s="166">
        <v>57.373573711818437</v>
      </c>
      <c r="D208" s="166">
        <v>104.34579689704225</v>
      </c>
      <c r="E208" s="166">
        <f t="shared" si="16"/>
        <v>57.373573711818437</v>
      </c>
      <c r="F208" s="188" t="str">
        <f t="shared" si="15"/>
        <v/>
      </c>
      <c r="H208" t="str">
        <f t="shared" si="18"/>
        <v/>
      </c>
      <c r="I208" s="188" t="str">
        <f t="shared" si="17"/>
        <v/>
      </c>
    </row>
    <row r="209" spans="1:9">
      <c r="A209">
        <v>206</v>
      </c>
      <c r="B209" s="46">
        <v>45650</v>
      </c>
      <c r="C209" s="166">
        <v>52.435381449816582</v>
      </c>
      <c r="D209" s="166">
        <v>104.34579689704225</v>
      </c>
      <c r="E209" s="166">
        <f t="shared" si="16"/>
        <v>52.435381449816582</v>
      </c>
      <c r="F209" s="188" t="str">
        <f t="shared" si="15"/>
        <v/>
      </c>
      <c r="H209" t="str">
        <f t="shared" si="18"/>
        <v/>
      </c>
      <c r="I209" s="188" t="str">
        <f t="shared" si="17"/>
        <v/>
      </c>
    </row>
    <row r="210" spans="1:9">
      <c r="A210">
        <v>207</v>
      </c>
      <c r="B210" s="46">
        <v>45651</v>
      </c>
      <c r="C210" s="166">
        <v>61.070524667621214</v>
      </c>
      <c r="D210" s="166">
        <v>104.34579689704225</v>
      </c>
      <c r="E210" s="166">
        <f t="shared" si="16"/>
        <v>61.070524667621214</v>
      </c>
      <c r="F210" s="188" t="str">
        <f t="shared" si="15"/>
        <v/>
      </c>
      <c r="H210" t="str">
        <f t="shared" si="18"/>
        <v/>
      </c>
      <c r="I210" s="188" t="str">
        <f t="shared" si="17"/>
        <v/>
      </c>
    </row>
    <row r="211" spans="1:9">
      <c r="A211">
        <v>208</v>
      </c>
      <c r="B211" s="46">
        <v>45652</v>
      </c>
      <c r="C211" s="166">
        <v>89.444197123621208</v>
      </c>
      <c r="D211" s="166">
        <v>104.34579689704225</v>
      </c>
      <c r="E211" s="166">
        <f t="shared" si="16"/>
        <v>89.444197123621208</v>
      </c>
      <c r="F211" s="188" t="str">
        <f t="shared" si="15"/>
        <v/>
      </c>
      <c r="H211" t="str">
        <f t="shared" si="18"/>
        <v/>
      </c>
      <c r="I211" s="188" t="str">
        <f t="shared" si="17"/>
        <v/>
      </c>
    </row>
    <row r="212" spans="1:9">
      <c r="A212">
        <v>209</v>
      </c>
      <c r="B212" s="46">
        <v>45653</v>
      </c>
      <c r="C212" s="166">
        <v>90.757717751621215</v>
      </c>
      <c r="D212" s="166">
        <v>104.34579689704225</v>
      </c>
      <c r="E212" s="166">
        <f t="shared" si="16"/>
        <v>90.757717751621215</v>
      </c>
      <c r="F212" s="188" t="str">
        <f t="shared" si="15"/>
        <v/>
      </c>
      <c r="H212" t="str">
        <f t="shared" si="18"/>
        <v/>
      </c>
      <c r="I212" s="188" t="str">
        <f t="shared" si="17"/>
        <v/>
      </c>
    </row>
    <row r="213" spans="1:9">
      <c r="A213">
        <v>210</v>
      </c>
      <c r="B213" s="46">
        <v>45654</v>
      </c>
      <c r="C213" s="166">
        <v>93.634406132621208</v>
      </c>
      <c r="D213" s="166">
        <v>104.34579689704225</v>
      </c>
      <c r="E213" s="166">
        <f t="shared" si="16"/>
        <v>93.634406132621208</v>
      </c>
      <c r="F213" s="188" t="str">
        <f t="shared" si="15"/>
        <v/>
      </c>
      <c r="H213" t="str">
        <f t="shared" si="18"/>
        <v/>
      </c>
      <c r="I213" s="188" t="str">
        <f t="shared" si="17"/>
        <v/>
      </c>
    </row>
    <row r="214" spans="1:9">
      <c r="A214">
        <v>211</v>
      </c>
      <c r="B214" s="46">
        <v>45655</v>
      </c>
      <c r="C214" s="166">
        <v>85.876438035621206</v>
      </c>
      <c r="D214" s="166">
        <v>104.34579689704225</v>
      </c>
      <c r="E214" s="166">
        <f t="shared" si="16"/>
        <v>85.876438035621206</v>
      </c>
      <c r="F214" s="188" t="str">
        <f t="shared" si="15"/>
        <v/>
      </c>
      <c r="H214" t="str">
        <f t="shared" si="18"/>
        <v/>
      </c>
      <c r="I214" s="188" t="str">
        <f t="shared" si="17"/>
        <v/>
      </c>
    </row>
    <row r="215" spans="1:9">
      <c r="A215">
        <v>212</v>
      </c>
      <c r="B215" s="46">
        <v>45656</v>
      </c>
      <c r="C215" s="166">
        <v>98.537026639621203</v>
      </c>
      <c r="D215" s="166">
        <v>104.34579689704225</v>
      </c>
      <c r="E215" s="166">
        <f t="shared" si="16"/>
        <v>98.537026639621203</v>
      </c>
      <c r="F215" s="188" t="str">
        <f t="shared" si="15"/>
        <v/>
      </c>
      <c r="H215" t="str">
        <f t="shared" si="18"/>
        <v/>
      </c>
      <c r="I215" s="188" t="str">
        <f t="shared" si="17"/>
        <v/>
      </c>
    </row>
    <row r="216" spans="1:9">
      <c r="A216">
        <v>213</v>
      </c>
      <c r="B216" s="46">
        <v>45657</v>
      </c>
      <c r="C216" s="166">
        <v>93.20605021562308</v>
      </c>
      <c r="D216" s="166">
        <v>104.34579689704225</v>
      </c>
      <c r="E216" s="166">
        <f t="shared" si="16"/>
        <v>93.20605021562308</v>
      </c>
      <c r="F216" s="188" t="str">
        <f t="shared" si="15"/>
        <v/>
      </c>
      <c r="H216" t="str">
        <f t="shared" si="18"/>
        <v/>
      </c>
      <c r="I216" s="188" t="str">
        <f t="shared" si="17"/>
        <v/>
      </c>
    </row>
    <row r="217" spans="1:9">
      <c r="A217">
        <v>214</v>
      </c>
      <c r="B217" s="46">
        <v>45658</v>
      </c>
      <c r="C217" s="166">
        <v>53.986044277254123</v>
      </c>
      <c r="D217" s="166">
        <v>119.24912559323448</v>
      </c>
      <c r="E217" s="166">
        <f t="shared" si="16"/>
        <v>53.986044277254123</v>
      </c>
      <c r="F217" s="188" t="str">
        <f t="shared" si="15"/>
        <v/>
      </c>
      <c r="H217">
        <f t="shared" si="18"/>
        <v>2025</v>
      </c>
      <c r="I217" s="188" t="str">
        <f t="shared" si="17"/>
        <v/>
      </c>
    </row>
    <row r="218" spans="1:9">
      <c r="A218">
        <v>215</v>
      </c>
      <c r="B218" s="46">
        <v>45659</v>
      </c>
      <c r="C218" s="166">
        <v>69.503196627254113</v>
      </c>
      <c r="D218" s="166">
        <v>119.24912559323448</v>
      </c>
      <c r="E218" s="166">
        <f t="shared" si="16"/>
        <v>69.503196627254113</v>
      </c>
      <c r="F218" s="188" t="str">
        <f t="shared" si="15"/>
        <v/>
      </c>
      <c r="H218" t="str">
        <f t="shared" si="18"/>
        <v/>
      </c>
      <c r="I218" s="188" t="str">
        <f t="shared" si="17"/>
        <v/>
      </c>
    </row>
    <row r="219" spans="1:9">
      <c r="A219">
        <v>216</v>
      </c>
      <c r="B219" s="46">
        <v>45660</v>
      </c>
      <c r="C219" s="166">
        <v>66.45143115325412</v>
      </c>
      <c r="D219" s="166">
        <v>119.24912559323448</v>
      </c>
      <c r="E219" s="166">
        <f t="shared" si="16"/>
        <v>66.45143115325412</v>
      </c>
      <c r="F219" s="188" t="str">
        <f t="shared" si="15"/>
        <v/>
      </c>
      <c r="H219" t="str">
        <f t="shared" si="18"/>
        <v/>
      </c>
      <c r="I219" s="188" t="str">
        <f t="shared" si="17"/>
        <v/>
      </c>
    </row>
    <row r="220" spans="1:9">
      <c r="A220">
        <v>217</v>
      </c>
      <c r="B220" s="46">
        <v>45661</v>
      </c>
      <c r="C220" s="166">
        <v>75.53262317825785</v>
      </c>
      <c r="D220" s="166">
        <v>119.24912559323448</v>
      </c>
      <c r="E220" s="166">
        <f t="shared" si="16"/>
        <v>75.53262317825785</v>
      </c>
      <c r="F220" s="188" t="str">
        <f t="shared" si="15"/>
        <v/>
      </c>
      <c r="H220" t="str">
        <f t="shared" si="18"/>
        <v/>
      </c>
      <c r="I220" s="188" t="str">
        <f t="shared" si="17"/>
        <v/>
      </c>
    </row>
    <row r="221" spans="1:9">
      <c r="A221">
        <v>218</v>
      </c>
      <c r="B221" s="46">
        <v>45662</v>
      </c>
      <c r="C221" s="166">
        <v>41.699737590254124</v>
      </c>
      <c r="D221" s="166">
        <v>119.24912559323448</v>
      </c>
      <c r="E221" s="166">
        <f t="shared" si="16"/>
        <v>41.699737590254124</v>
      </c>
      <c r="F221" s="188" t="str">
        <f t="shared" si="15"/>
        <v/>
      </c>
      <c r="H221" t="str">
        <f t="shared" si="18"/>
        <v/>
      </c>
      <c r="I221" s="188" t="str">
        <f t="shared" si="17"/>
        <v/>
      </c>
    </row>
    <row r="222" spans="1:9">
      <c r="A222">
        <v>219</v>
      </c>
      <c r="B222" s="46">
        <v>45663</v>
      </c>
      <c r="C222" s="166">
        <v>49.457396382254124</v>
      </c>
      <c r="D222" s="166">
        <v>119.24912559323448</v>
      </c>
      <c r="E222" s="166">
        <f t="shared" si="16"/>
        <v>49.457396382254124</v>
      </c>
      <c r="F222" s="188" t="str">
        <f t="shared" si="15"/>
        <v/>
      </c>
      <c r="H222" t="str">
        <f t="shared" si="18"/>
        <v/>
      </c>
      <c r="I222" s="188" t="str">
        <f t="shared" si="17"/>
        <v/>
      </c>
    </row>
    <row r="223" spans="1:9">
      <c r="A223">
        <v>220</v>
      </c>
      <c r="B223" s="46">
        <v>45664</v>
      </c>
      <c r="C223" s="166">
        <v>67.336947990255979</v>
      </c>
      <c r="D223" s="166">
        <v>119.24912559323448</v>
      </c>
      <c r="E223" s="166">
        <f t="shared" si="16"/>
        <v>67.336947990255979</v>
      </c>
      <c r="F223" s="188" t="str">
        <f t="shared" si="15"/>
        <v/>
      </c>
      <c r="H223" t="str">
        <f t="shared" si="18"/>
        <v/>
      </c>
      <c r="I223" s="188" t="str">
        <f t="shared" si="17"/>
        <v/>
      </c>
    </row>
    <row r="224" spans="1:9">
      <c r="A224">
        <v>221</v>
      </c>
      <c r="B224" s="46">
        <v>45665</v>
      </c>
      <c r="C224" s="166">
        <v>136.78668112135671</v>
      </c>
      <c r="D224" s="166">
        <v>119.24912559323448</v>
      </c>
      <c r="E224" s="166">
        <f t="shared" si="16"/>
        <v>119.24912559323448</v>
      </c>
      <c r="F224" s="188" t="str">
        <f t="shared" si="15"/>
        <v/>
      </c>
      <c r="H224" t="str">
        <f t="shared" si="18"/>
        <v/>
      </c>
      <c r="I224" s="188" t="str">
        <f t="shared" si="17"/>
        <v/>
      </c>
    </row>
    <row r="225" spans="1:9">
      <c r="A225">
        <v>222</v>
      </c>
      <c r="B225" s="46">
        <v>45666</v>
      </c>
      <c r="C225" s="166">
        <v>137.42684952435485</v>
      </c>
      <c r="D225" s="166">
        <v>119.24912559323448</v>
      </c>
      <c r="E225" s="166">
        <f t="shared" si="16"/>
        <v>119.24912559323448</v>
      </c>
      <c r="F225" s="188" t="str">
        <f t="shared" si="15"/>
        <v/>
      </c>
      <c r="H225" t="str">
        <f t="shared" si="18"/>
        <v/>
      </c>
      <c r="I225" s="188" t="str">
        <f t="shared" si="17"/>
        <v/>
      </c>
    </row>
    <row r="226" spans="1:9">
      <c r="A226">
        <v>223</v>
      </c>
      <c r="B226" s="46">
        <v>45667</v>
      </c>
      <c r="C226" s="166">
        <v>161.00422858735669</v>
      </c>
      <c r="D226" s="166">
        <v>119.24912559323448</v>
      </c>
      <c r="E226" s="166">
        <f t="shared" si="16"/>
        <v>119.24912559323448</v>
      </c>
      <c r="F226" s="188" t="str">
        <f t="shared" si="15"/>
        <v/>
      </c>
      <c r="H226" t="str">
        <f t="shared" si="18"/>
        <v/>
      </c>
      <c r="I226" s="188" t="str">
        <f t="shared" si="17"/>
        <v/>
      </c>
    </row>
    <row r="227" spans="1:9">
      <c r="A227">
        <v>224</v>
      </c>
      <c r="B227" s="46">
        <v>45668</v>
      </c>
      <c r="C227" s="166">
        <v>126.4835311443567</v>
      </c>
      <c r="D227" s="166">
        <v>119.24912559323448</v>
      </c>
      <c r="E227" s="166">
        <f t="shared" si="16"/>
        <v>119.24912559323448</v>
      </c>
      <c r="F227" s="188" t="str">
        <f t="shared" si="15"/>
        <v/>
      </c>
      <c r="H227" t="str">
        <f t="shared" si="18"/>
        <v/>
      </c>
      <c r="I227" s="188" t="str">
        <f t="shared" si="17"/>
        <v/>
      </c>
    </row>
    <row r="228" spans="1:9">
      <c r="A228">
        <v>225</v>
      </c>
      <c r="B228" s="46">
        <v>45669</v>
      </c>
      <c r="C228" s="166">
        <v>111.62172161635669</v>
      </c>
      <c r="D228" s="166">
        <v>119.24912559323448</v>
      </c>
      <c r="E228" s="166">
        <f t="shared" si="16"/>
        <v>111.62172161635669</v>
      </c>
      <c r="F228" s="188" t="str">
        <f t="shared" si="15"/>
        <v/>
      </c>
      <c r="H228" t="str">
        <f t="shared" si="18"/>
        <v/>
      </c>
      <c r="I228" s="188" t="str">
        <f t="shared" si="17"/>
        <v/>
      </c>
    </row>
    <row r="229" spans="1:9">
      <c r="A229">
        <v>226</v>
      </c>
      <c r="B229" s="46">
        <v>45670</v>
      </c>
      <c r="C229" s="166">
        <v>151.68971260435669</v>
      </c>
      <c r="D229" s="166">
        <v>119.24912559323448</v>
      </c>
      <c r="E229" s="166">
        <f t="shared" si="16"/>
        <v>119.24912559323448</v>
      </c>
      <c r="F229" s="188" t="str">
        <f t="shared" si="15"/>
        <v/>
      </c>
      <c r="H229" t="str">
        <f t="shared" si="18"/>
        <v/>
      </c>
      <c r="I229" s="188" t="str">
        <f t="shared" si="17"/>
        <v/>
      </c>
    </row>
    <row r="230" spans="1:9">
      <c r="A230">
        <v>227</v>
      </c>
      <c r="B230" s="46">
        <v>45671</v>
      </c>
      <c r="C230" s="166">
        <v>167.14070640035669</v>
      </c>
      <c r="D230" s="166">
        <v>119.24912559323448</v>
      </c>
      <c r="E230" s="166">
        <f t="shared" si="16"/>
        <v>119.24912559323448</v>
      </c>
      <c r="F230" s="188" t="str">
        <f t="shared" si="15"/>
        <v/>
      </c>
      <c r="G230" s="189" t="str">
        <f>IF(DAY(B230)=15,D230,"")</f>
        <v/>
      </c>
      <c r="H230" t="str">
        <f t="shared" si="18"/>
        <v/>
      </c>
      <c r="I230" s="188" t="str">
        <f t="shared" si="17"/>
        <v/>
      </c>
    </row>
    <row r="231" spans="1:9">
      <c r="A231">
        <v>228</v>
      </c>
      <c r="B231" s="46">
        <v>45672</v>
      </c>
      <c r="C231" s="166">
        <v>102.51417813263284</v>
      </c>
      <c r="D231" s="166">
        <v>119.24912559323448</v>
      </c>
      <c r="E231" s="166">
        <f t="shared" si="16"/>
        <v>102.51417813263284</v>
      </c>
      <c r="F231" s="188" t="str">
        <f t="shared" si="15"/>
        <v>E</v>
      </c>
      <c r="H231" t="str">
        <f t="shared" si="18"/>
        <v/>
      </c>
      <c r="I231" s="188" t="str">
        <f t="shared" si="17"/>
        <v>E</v>
      </c>
    </row>
    <row r="232" spans="1:9">
      <c r="A232">
        <v>229</v>
      </c>
      <c r="B232" s="46">
        <v>45673</v>
      </c>
      <c r="C232" s="166">
        <v>105.57352440863284</v>
      </c>
      <c r="D232" s="166">
        <v>119.24912559323448</v>
      </c>
      <c r="E232" s="166">
        <f t="shared" si="16"/>
        <v>105.57352440863284</v>
      </c>
      <c r="F232" s="188" t="str">
        <f t="shared" si="15"/>
        <v/>
      </c>
      <c r="H232" t="str">
        <f t="shared" si="18"/>
        <v/>
      </c>
      <c r="I232" s="188" t="str">
        <f t="shared" si="17"/>
        <v/>
      </c>
    </row>
    <row r="233" spans="1:9">
      <c r="A233">
        <v>230</v>
      </c>
      <c r="B233" s="46">
        <v>45674</v>
      </c>
      <c r="C233" s="166">
        <v>110.19689328463282</v>
      </c>
      <c r="D233" s="166">
        <v>119.24912559323448</v>
      </c>
      <c r="E233" s="166">
        <f t="shared" si="16"/>
        <v>110.19689328463282</v>
      </c>
      <c r="F233" s="188" t="str">
        <f t="shared" si="15"/>
        <v/>
      </c>
      <c r="H233" t="str">
        <f t="shared" si="18"/>
        <v/>
      </c>
      <c r="I233" s="188" t="str">
        <f t="shared" si="17"/>
        <v/>
      </c>
    </row>
    <row r="234" spans="1:9">
      <c r="A234">
        <v>231</v>
      </c>
      <c r="B234" s="46">
        <v>45675</v>
      </c>
      <c r="C234" s="166">
        <v>105.46647364463281</v>
      </c>
      <c r="D234" s="166">
        <v>119.24912559323448</v>
      </c>
      <c r="E234" s="166">
        <f t="shared" si="16"/>
        <v>105.46647364463281</v>
      </c>
      <c r="F234" s="188" t="str">
        <f t="shared" si="15"/>
        <v/>
      </c>
      <c r="H234" t="str">
        <f t="shared" si="18"/>
        <v/>
      </c>
      <c r="I234" s="188" t="str">
        <f t="shared" si="17"/>
        <v/>
      </c>
    </row>
    <row r="235" spans="1:9">
      <c r="A235">
        <v>232</v>
      </c>
      <c r="B235" s="46">
        <v>45676</v>
      </c>
      <c r="C235" s="166">
        <v>91.843949272630965</v>
      </c>
      <c r="D235" s="166">
        <v>119.24912559323448</v>
      </c>
      <c r="E235" s="166">
        <f t="shared" si="16"/>
        <v>91.843949272630965</v>
      </c>
      <c r="F235" s="188" t="str">
        <f t="shared" si="15"/>
        <v/>
      </c>
      <c r="H235" t="str">
        <f t="shared" si="18"/>
        <v/>
      </c>
      <c r="I235" s="188" t="str">
        <f t="shared" si="17"/>
        <v/>
      </c>
    </row>
    <row r="236" spans="1:9">
      <c r="A236">
        <v>233</v>
      </c>
      <c r="B236" s="46">
        <v>45677</v>
      </c>
      <c r="C236" s="166">
        <v>106.80647157663282</v>
      </c>
      <c r="D236" s="166">
        <v>119.24912559323448</v>
      </c>
      <c r="E236" s="166">
        <f t="shared" si="16"/>
        <v>106.80647157663282</v>
      </c>
      <c r="F236" s="188" t="str">
        <f t="shared" si="15"/>
        <v/>
      </c>
      <c r="H236" t="str">
        <f t="shared" si="18"/>
        <v/>
      </c>
      <c r="I236" s="188" t="str">
        <f t="shared" si="17"/>
        <v/>
      </c>
    </row>
    <row r="237" spans="1:9">
      <c r="A237">
        <v>234</v>
      </c>
      <c r="B237" s="46">
        <v>45678</v>
      </c>
      <c r="C237" s="166">
        <v>91.954721448634686</v>
      </c>
      <c r="D237" s="166">
        <v>119.24912559323448</v>
      </c>
      <c r="E237" s="166">
        <f t="shared" si="16"/>
        <v>91.954721448634686</v>
      </c>
      <c r="F237" s="188" t="str">
        <f t="shared" si="15"/>
        <v/>
      </c>
      <c r="H237" t="str">
        <f t="shared" si="18"/>
        <v/>
      </c>
      <c r="I237" s="188" t="str">
        <f t="shared" si="17"/>
        <v/>
      </c>
    </row>
    <row r="238" spans="1:9">
      <c r="A238">
        <v>235</v>
      </c>
      <c r="B238" s="46">
        <v>45679</v>
      </c>
      <c r="C238" s="166">
        <v>168.3210030544453</v>
      </c>
      <c r="D238" s="166">
        <v>119.24912559323448</v>
      </c>
      <c r="E238" s="166">
        <f t="shared" si="16"/>
        <v>119.24912559323448</v>
      </c>
      <c r="F238" s="188" t="str">
        <f t="shared" si="15"/>
        <v/>
      </c>
      <c r="H238" t="str">
        <f t="shared" si="18"/>
        <v/>
      </c>
      <c r="I238" s="188" t="str">
        <f t="shared" si="17"/>
        <v/>
      </c>
    </row>
    <row r="239" spans="1:9">
      <c r="A239">
        <v>236</v>
      </c>
      <c r="B239" s="46">
        <v>45680</v>
      </c>
      <c r="C239" s="166">
        <v>178.69275573044339</v>
      </c>
      <c r="D239" s="166">
        <v>119.24912559323448</v>
      </c>
      <c r="E239" s="166">
        <f t="shared" si="16"/>
        <v>119.24912559323448</v>
      </c>
      <c r="F239" s="188" t="str">
        <f t="shared" si="15"/>
        <v/>
      </c>
      <c r="H239" t="str">
        <f t="shared" si="18"/>
        <v/>
      </c>
      <c r="I239" s="188" t="str">
        <f t="shared" si="17"/>
        <v/>
      </c>
    </row>
    <row r="240" spans="1:9">
      <c r="A240">
        <v>237</v>
      </c>
      <c r="B240" s="46">
        <v>45681</v>
      </c>
      <c r="C240" s="166">
        <v>160.10215898644714</v>
      </c>
      <c r="D240" s="166">
        <v>119.24912559323448</v>
      </c>
      <c r="E240" s="166">
        <f t="shared" si="16"/>
        <v>119.24912559323448</v>
      </c>
      <c r="F240" s="188" t="str">
        <f t="shared" si="15"/>
        <v/>
      </c>
      <c r="H240" t="str">
        <f t="shared" si="18"/>
        <v/>
      </c>
      <c r="I240" s="188" t="str">
        <f t="shared" si="17"/>
        <v/>
      </c>
    </row>
    <row r="241" spans="1:9">
      <c r="A241">
        <v>238</v>
      </c>
      <c r="B241" s="46">
        <v>45682</v>
      </c>
      <c r="C241" s="166">
        <v>138.36786372644343</v>
      </c>
      <c r="D241" s="166">
        <v>119.24912559323448</v>
      </c>
      <c r="E241" s="166">
        <f t="shared" si="16"/>
        <v>119.24912559323448</v>
      </c>
      <c r="F241" s="188" t="str">
        <f t="shared" si="15"/>
        <v/>
      </c>
      <c r="H241" t="str">
        <f t="shared" si="18"/>
        <v/>
      </c>
      <c r="I241" s="188" t="str">
        <f t="shared" si="17"/>
        <v/>
      </c>
    </row>
    <row r="242" spans="1:9">
      <c r="A242">
        <v>239</v>
      </c>
      <c r="B242" s="46">
        <v>45683</v>
      </c>
      <c r="C242" s="166">
        <v>126.88157139844529</v>
      </c>
      <c r="D242" s="166">
        <v>119.24912559323448</v>
      </c>
      <c r="E242" s="166">
        <f t="shared" si="16"/>
        <v>119.24912559323448</v>
      </c>
      <c r="F242" s="188" t="str">
        <f t="shared" si="15"/>
        <v/>
      </c>
      <c r="H242" t="str">
        <f t="shared" si="18"/>
        <v/>
      </c>
      <c r="I242" s="188" t="str">
        <f t="shared" si="17"/>
        <v/>
      </c>
    </row>
    <row r="243" spans="1:9">
      <c r="A243">
        <v>240</v>
      </c>
      <c r="B243" s="46">
        <v>45684</v>
      </c>
      <c r="C243" s="166">
        <v>133.75775796244343</v>
      </c>
      <c r="D243" s="166">
        <v>119.24912559323448</v>
      </c>
      <c r="E243" s="166">
        <f t="shared" si="16"/>
        <v>119.24912559323448</v>
      </c>
      <c r="F243" s="188" t="str">
        <f t="shared" si="15"/>
        <v/>
      </c>
      <c r="H243" t="str">
        <f t="shared" si="18"/>
        <v/>
      </c>
      <c r="I243" s="188" t="str">
        <f t="shared" si="17"/>
        <v/>
      </c>
    </row>
    <row r="244" spans="1:9">
      <c r="A244">
        <v>241</v>
      </c>
      <c r="B244" s="46">
        <v>45685</v>
      </c>
      <c r="C244" s="166">
        <v>163.20963387044341</v>
      </c>
      <c r="D244" s="166">
        <v>119.24912559323448</v>
      </c>
      <c r="E244" s="166">
        <f t="shared" si="16"/>
        <v>119.24912559323448</v>
      </c>
      <c r="F244" s="188" t="str">
        <f t="shared" si="15"/>
        <v/>
      </c>
      <c r="H244" t="str">
        <f t="shared" si="18"/>
        <v/>
      </c>
      <c r="I244" s="188" t="str">
        <f t="shared" si="17"/>
        <v/>
      </c>
    </row>
    <row r="245" spans="1:9">
      <c r="A245">
        <v>242</v>
      </c>
      <c r="B245" s="46">
        <v>45686</v>
      </c>
      <c r="C245" s="166">
        <v>294.59153930035598</v>
      </c>
      <c r="D245" s="166">
        <v>119.24912559323448</v>
      </c>
      <c r="E245" s="166">
        <f t="shared" si="16"/>
        <v>119.24912559323448</v>
      </c>
      <c r="F245" s="188" t="str">
        <f t="shared" si="15"/>
        <v/>
      </c>
      <c r="H245" t="str">
        <f t="shared" si="18"/>
        <v/>
      </c>
      <c r="I245" s="188" t="str">
        <f t="shared" si="17"/>
        <v/>
      </c>
    </row>
    <row r="246" spans="1:9">
      <c r="A246">
        <v>243</v>
      </c>
      <c r="B246" s="46">
        <v>45687</v>
      </c>
      <c r="C246" s="166">
        <v>284.58255372035046</v>
      </c>
      <c r="D246" s="166">
        <v>119.24912559323448</v>
      </c>
      <c r="E246" s="166">
        <f t="shared" si="16"/>
        <v>119.24912559323448</v>
      </c>
      <c r="F246" s="188" t="str">
        <f t="shared" si="15"/>
        <v/>
      </c>
      <c r="H246" t="str">
        <f t="shared" si="18"/>
        <v/>
      </c>
      <c r="I246" s="188" t="str">
        <f t="shared" si="17"/>
        <v/>
      </c>
    </row>
    <row r="247" spans="1:9">
      <c r="A247">
        <v>244</v>
      </c>
      <c r="B247" s="46">
        <v>45688</v>
      </c>
      <c r="C247" s="166">
        <v>315.55065295635046</v>
      </c>
      <c r="D247" s="166">
        <v>119.24912559323448</v>
      </c>
      <c r="E247" s="166">
        <f t="shared" si="16"/>
        <v>119.24912559323448</v>
      </c>
      <c r="F247" s="188" t="str">
        <f t="shared" si="15"/>
        <v/>
      </c>
      <c r="H247" t="str">
        <f t="shared" si="18"/>
        <v/>
      </c>
      <c r="I247" s="188" t="str">
        <f t="shared" si="17"/>
        <v/>
      </c>
    </row>
    <row r="248" spans="1:9">
      <c r="A248">
        <v>245</v>
      </c>
      <c r="B248" s="46">
        <v>45689</v>
      </c>
      <c r="C248" s="166">
        <v>307.18967444835602</v>
      </c>
      <c r="D248" s="166">
        <v>124.45770390135006</v>
      </c>
      <c r="E248" s="166">
        <f t="shared" si="16"/>
        <v>124.45770390135006</v>
      </c>
      <c r="F248" s="188" t="str">
        <f t="shared" si="15"/>
        <v/>
      </c>
      <c r="H248" t="str">
        <f t="shared" si="18"/>
        <v/>
      </c>
      <c r="I248" s="188" t="str">
        <f t="shared" si="17"/>
        <v/>
      </c>
    </row>
    <row r="249" spans="1:9">
      <c r="A249">
        <v>246</v>
      </c>
      <c r="B249" s="46">
        <v>45690</v>
      </c>
      <c r="C249" s="166">
        <v>332.03252094435226</v>
      </c>
      <c r="D249" s="166">
        <v>124.45770390135006</v>
      </c>
      <c r="E249" s="166">
        <f t="shared" si="16"/>
        <v>124.45770390135006</v>
      </c>
      <c r="F249" s="188" t="str">
        <f t="shared" si="15"/>
        <v/>
      </c>
      <c r="H249" t="str">
        <f t="shared" si="18"/>
        <v/>
      </c>
      <c r="I249" s="188" t="str">
        <f t="shared" si="17"/>
        <v/>
      </c>
    </row>
    <row r="250" spans="1:9">
      <c r="A250">
        <v>247</v>
      </c>
      <c r="B250" s="46">
        <v>45691</v>
      </c>
      <c r="C250" s="166">
        <v>338.51311530435231</v>
      </c>
      <c r="D250" s="166">
        <v>124.45770390135006</v>
      </c>
      <c r="E250" s="166">
        <f t="shared" si="16"/>
        <v>124.45770390135006</v>
      </c>
      <c r="F250" s="188" t="str">
        <f t="shared" si="15"/>
        <v/>
      </c>
      <c r="H250" t="str">
        <f t="shared" si="18"/>
        <v/>
      </c>
      <c r="I250" s="188" t="str">
        <f t="shared" si="17"/>
        <v/>
      </c>
    </row>
    <row r="251" spans="1:9">
      <c r="A251">
        <v>248</v>
      </c>
      <c r="B251" s="46">
        <v>45692</v>
      </c>
      <c r="C251" s="166">
        <v>349.92630046835041</v>
      </c>
      <c r="D251" s="166">
        <v>124.45770390135006</v>
      </c>
      <c r="E251" s="166">
        <f t="shared" si="16"/>
        <v>124.45770390135006</v>
      </c>
      <c r="F251" s="188" t="str">
        <f t="shared" si="15"/>
        <v/>
      </c>
      <c r="H251" t="str">
        <f t="shared" si="18"/>
        <v/>
      </c>
      <c r="I251" s="188" t="str">
        <f t="shared" si="17"/>
        <v/>
      </c>
    </row>
    <row r="252" spans="1:9">
      <c r="A252">
        <v>249</v>
      </c>
      <c r="B252" s="46">
        <v>45693</v>
      </c>
      <c r="C252" s="166">
        <v>158.57640116120609</v>
      </c>
      <c r="D252" s="166">
        <v>124.45770390135006</v>
      </c>
      <c r="E252" s="166">
        <f t="shared" si="16"/>
        <v>124.45770390135006</v>
      </c>
      <c r="F252" s="188" t="str">
        <f t="shared" si="15"/>
        <v/>
      </c>
      <c r="H252" t="str">
        <f t="shared" si="18"/>
        <v/>
      </c>
      <c r="I252" s="188" t="str">
        <f t="shared" si="17"/>
        <v/>
      </c>
    </row>
    <row r="253" spans="1:9">
      <c r="A253">
        <v>250</v>
      </c>
      <c r="B253" s="46">
        <v>45694</v>
      </c>
      <c r="C253" s="166">
        <v>163.97919883720795</v>
      </c>
      <c r="D253" s="166">
        <v>124.45770390135006</v>
      </c>
      <c r="E253" s="166">
        <f t="shared" si="16"/>
        <v>124.45770390135006</v>
      </c>
      <c r="F253" s="188" t="str">
        <f t="shared" si="15"/>
        <v/>
      </c>
      <c r="H253" t="str">
        <f t="shared" si="18"/>
        <v/>
      </c>
      <c r="I253" s="188" t="str">
        <f t="shared" si="17"/>
        <v/>
      </c>
    </row>
    <row r="254" spans="1:9">
      <c r="A254">
        <v>251</v>
      </c>
      <c r="B254" s="46">
        <v>45695</v>
      </c>
      <c r="C254" s="166">
        <v>156.4095246172061</v>
      </c>
      <c r="D254" s="166">
        <v>124.45770390135006</v>
      </c>
      <c r="E254" s="166">
        <f t="shared" si="16"/>
        <v>124.45770390135006</v>
      </c>
      <c r="F254" s="188" t="str">
        <f t="shared" si="15"/>
        <v/>
      </c>
      <c r="H254" t="str">
        <f t="shared" si="18"/>
        <v/>
      </c>
      <c r="I254" s="188" t="str">
        <f t="shared" si="17"/>
        <v/>
      </c>
    </row>
    <row r="255" spans="1:9">
      <c r="A255">
        <v>252</v>
      </c>
      <c r="B255" s="46">
        <v>45696</v>
      </c>
      <c r="C255" s="166">
        <v>132.31267980120796</v>
      </c>
      <c r="D255" s="166">
        <v>124.45770390135006</v>
      </c>
      <c r="E255" s="166">
        <f t="shared" si="16"/>
        <v>124.45770390135006</v>
      </c>
      <c r="F255" s="188" t="str">
        <f t="shared" si="15"/>
        <v/>
      </c>
      <c r="H255" t="str">
        <f t="shared" si="18"/>
        <v/>
      </c>
      <c r="I255" s="188" t="str">
        <f t="shared" si="17"/>
        <v/>
      </c>
    </row>
    <row r="256" spans="1:9">
      <c r="A256">
        <v>253</v>
      </c>
      <c r="B256" s="46">
        <v>45697</v>
      </c>
      <c r="C256" s="166">
        <v>141.74321268120983</v>
      </c>
      <c r="D256" s="166">
        <v>124.45770390135006</v>
      </c>
      <c r="E256" s="166">
        <f t="shared" si="16"/>
        <v>124.45770390135006</v>
      </c>
      <c r="F256" s="188" t="str">
        <f t="shared" si="15"/>
        <v/>
      </c>
      <c r="H256" t="str">
        <f t="shared" si="18"/>
        <v/>
      </c>
      <c r="I256" s="188" t="str">
        <f t="shared" si="17"/>
        <v/>
      </c>
    </row>
    <row r="257" spans="1:9">
      <c r="A257">
        <v>254</v>
      </c>
      <c r="B257" s="46">
        <v>45698</v>
      </c>
      <c r="C257" s="166">
        <v>161.18742222520609</v>
      </c>
      <c r="D257" s="166">
        <v>124.45770390135006</v>
      </c>
      <c r="E257" s="166">
        <f t="shared" si="16"/>
        <v>124.45770390135006</v>
      </c>
      <c r="F257" s="188" t="str">
        <f t="shared" si="15"/>
        <v/>
      </c>
      <c r="H257" t="str">
        <f t="shared" si="18"/>
        <v/>
      </c>
      <c r="I257" s="188" t="str">
        <f t="shared" si="17"/>
        <v/>
      </c>
    </row>
    <row r="258" spans="1:9">
      <c r="A258">
        <v>255</v>
      </c>
      <c r="B258" s="46">
        <v>45699</v>
      </c>
      <c r="C258" s="166">
        <v>157.21622700920611</v>
      </c>
      <c r="D258" s="166">
        <v>124.45770390135006</v>
      </c>
      <c r="E258" s="166">
        <f t="shared" si="16"/>
        <v>124.45770390135006</v>
      </c>
      <c r="F258" s="188" t="str">
        <f t="shared" si="15"/>
        <v/>
      </c>
      <c r="H258" t="str">
        <f t="shared" si="18"/>
        <v/>
      </c>
      <c r="I258" s="188" t="str">
        <f t="shared" si="17"/>
        <v/>
      </c>
    </row>
    <row r="259" spans="1:9">
      <c r="A259">
        <v>256</v>
      </c>
      <c r="B259" s="46">
        <v>45700</v>
      </c>
      <c r="C259" s="166">
        <v>153.14956008996853</v>
      </c>
      <c r="D259" s="166">
        <v>124.45770390135006</v>
      </c>
      <c r="E259" s="166">
        <f t="shared" si="16"/>
        <v>124.45770390135006</v>
      </c>
      <c r="F259" s="188" t="str">
        <f t="shared" ref="F259:F260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t="str">
        <f t="shared" si="18"/>
        <v/>
      </c>
      <c r="I259" s="188" t="str">
        <f t="shared" si="17"/>
        <v/>
      </c>
    </row>
    <row r="260" spans="1:9">
      <c r="A260">
        <v>257</v>
      </c>
      <c r="B260" s="46">
        <v>45701</v>
      </c>
      <c r="C260" s="166">
        <v>153.16600436197038</v>
      </c>
      <c r="D260" s="166">
        <v>124.45770390135006</v>
      </c>
      <c r="E260" s="166">
        <f t="shared" ref="E260:E323" si="20">IF(C260&lt;D260,C260,D260)</f>
        <v>124.45770390135006</v>
      </c>
      <c r="F260" s="188" t="str">
        <f t="shared" si="19"/>
        <v/>
      </c>
      <c r="H260" t="str">
        <f t="shared" si="18"/>
        <v/>
      </c>
      <c r="I260" s="188" t="str">
        <f t="shared" ref="I260:I323" si="21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9">
      <c r="A261">
        <v>258</v>
      </c>
      <c r="B261" s="46">
        <v>45702</v>
      </c>
      <c r="C261" s="166">
        <v>159.62962107396663</v>
      </c>
      <c r="D261" s="166">
        <v>124.45770390135006</v>
      </c>
      <c r="E261" s="166">
        <f t="shared" si="20"/>
        <v>124.45770390135006</v>
      </c>
      <c r="F261" s="188" t="str">
        <f t="shared" ref="F261:F323" si="22">IF(DAY(B261)=15,IF(MONTH(B261)=1,"E",IF(MONTH(B261)=2,"F",IF(MONTH(B261)=3,"M",IF(MONTH(B261)=4,"A",IF(MONTH(B261)=5,"M",IF(MONTH(B261)=6,"J",IF(MONTH(B261)=7,"J",IF(MONTH(B261)=8,"A",IF(MONTH(B261)=9,"S",IF(MONTH(B261)=10,"O",IF(MONTH(B261)=11,"N",IF(MONTH(B261)=12,"D","")))))))))))),"")</f>
        <v/>
      </c>
      <c r="G261" s="189" t="str">
        <f>IF(DAY(B261)=15,D261,"")</f>
        <v/>
      </c>
      <c r="H261" t="str">
        <f t="shared" ref="H261:H324" si="23">IF(MONTH(B261)=1,IF(DAY(B261)=1,YEAR(B261),""),"")</f>
        <v/>
      </c>
      <c r="I261" s="188" t="str">
        <f t="shared" si="21"/>
        <v/>
      </c>
    </row>
    <row r="262" spans="1:9">
      <c r="A262">
        <v>259</v>
      </c>
      <c r="B262" s="46">
        <v>45703</v>
      </c>
      <c r="C262" s="166">
        <v>145.24807740197036</v>
      </c>
      <c r="D262" s="166">
        <v>124.45770390135006</v>
      </c>
      <c r="E262" s="166">
        <f t="shared" si="20"/>
        <v>124.45770390135006</v>
      </c>
      <c r="F262" s="188" t="str">
        <f t="shared" si="22"/>
        <v>F</v>
      </c>
      <c r="H262" t="str">
        <f t="shared" si="23"/>
        <v/>
      </c>
      <c r="I262" s="188" t="str">
        <f t="shared" si="21"/>
        <v>F</v>
      </c>
    </row>
    <row r="263" spans="1:9">
      <c r="A263">
        <v>260</v>
      </c>
      <c r="B263" s="46">
        <v>45704</v>
      </c>
      <c r="C263" s="166">
        <v>139.31324646196666</v>
      </c>
      <c r="D263" s="166">
        <v>124.45770390135006</v>
      </c>
      <c r="E263" s="166">
        <f t="shared" si="20"/>
        <v>124.45770390135006</v>
      </c>
      <c r="F263" s="188" t="str">
        <f t="shared" si="22"/>
        <v/>
      </c>
      <c r="H263" t="str">
        <f t="shared" si="23"/>
        <v/>
      </c>
      <c r="I263" s="188" t="str">
        <f t="shared" si="21"/>
        <v/>
      </c>
    </row>
    <row r="264" spans="1:9">
      <c r="A264">
        <v>261</v>
      </c>
      <c r="B264" s="46">
        <v>45705</v>
      </c>
      <c r="C264" s="166">
        <v>152.62523166597038</v>
      </c>
      <c r="D264" s="166">
        <v>124.45770390135006</v>
      </c>
      <c r="E264" s="166">
        <f t="shared" si="20"/>
        <v>124.45770390135006</v>
      </c>
      <c r="F264" s="188" t="str">
        <f t="shared" si="22"/>
        <v/>
      </c>
      <c r="H264" t="str">
        <f t="shared" si="23"/>
        <v/>
      </c>
      <c r="I264" s="188" t="str">
        <f t="shared" si="21"/>
        <v/>
      </c>
    </row>
    <row r="265" spans="1:9">
      <c r="A265">
        <v>262</v>
      </c>
      <c r="B265" s="46">
        <v>45706</v>
      </c>
      <c r="C265" s="166">
        <v>136.07652472996853</v>
      </c>
      <c r="D265" s="166">
        <v>124.45770390135006</v>
      </c>
      <c r="E265" s="166">
        <f t="shared" si="20"/>
        <v>124.45770390135006</v>
      </c>
      <c r="F265" s="188" t="str">
        <f t="shared" si="22"/>
        <v/>
      </c>
      <c r="H265" t="str">
        <f t="shared" si="23"/>
        <v/>
      </c>
      <c r="I265" s="188" t="str">
        <f t="shared" si="21"/>
        <v/>
      </c>
    </row>
    <row r="266" spans="1:9">
      <c r="A266">
        <v>263</v>
      </c>
      <c r="B266" s="46">
        <v>45707</v>
      </c>
      <c r="C266" s="166">
        <v>141.0527792297126</v>
      </c>
      <c r="D266" s="166">
        <v>124.45770390135006</v>
      </c>
      <c r="E266" s="166">
        <f t="shared" si="20"/>
        <v>124.45770390135006</v>
      </c>
      <c r="F266" s="188" t="str">
        <f t="shared" si="22"/>
        <v/>
      </c>
      <c r="H266" t="str">
        <f t="shared" si="23"/>
        <v/>
      </c>
      <c r="I266" s="188" t="str">
        <f t="shared" si="21"/>
        <v/>
      </c>
    </row>
    <row r="267" spans="1:9">
      <c r="A267">
        <v>264</v>
      </c>
      <c r="B267" s="46">
        <v>45708</v>
      </c>
      <c r="C267" s="166">
        <v>121.78426129771444</v>
      </c>
      <c r="D267" s="166">
        <v>124.45770390135006</v>
      </c>
      <c r="E267" s="166">
        <f t="shared" si="20"/>
        <v>121.78426129771444</v>
      </c>
      <c r="F267" s="188" t="str">
        <f t="shared" si="22"/>
        <v/>
      </c>
      <c r="H267" t="str">
        <f t="shared" si="23"/>
        <v/>
      </c>
      <c r="I267" s="188" t="str">
        <f t="shared" si="21"/>
        <v/>
      </c>
    </row>
    <row r="268" spans="1:9">
      <c r="A268">
        <v>265</v>
      </c>
      <c r="B268" s="46">
        <v>45709</v>
      </c>
      <c r="C268" s="166">
        <v>87.426524705710705</v>
      </c>
      <c r="D268" s="166">
        <v>124.45770390135006</v>
      </c>
      <c r="E268" s="166">
        <f t="shared" si="20"/>
        <v>87.426524705710705</v>
      </c>
      <c r="F268" s="188" t="str">
        <f t="shared" si="22"/>
        <v/>
      </c>
      <c r="H268" t="str">
        <f t="shared" si="23"/>
        <v/>
      </c>
      <c r="I268" s="188" t="str">
        <f t="shared" si="21"/>
        <v/>
      </c>
    </row>
    <row r="269" spans="1:9">
      <c r="A269">
        <v>266</v>
      </c>
      <c r="B269" s="46">
        <v>45710</v>
      </c>
      <c r="C269" s="166">
        <v>114.18082720971816</v>
      </c>
      <c r="D269" s="166">
        <v>124.45770390135006</v>
      </c>
      <c r="E269" s="166">
        <f t="shared" si="20"/>
        <v>114.18082720971816</v>
      </c>
      <c r="F269" s="188" t="str">
        <f t="shared" si="22"/>
        <v/>
      </c>
      <c r="H269" t="str">
        <f t="shared" si="23"/>
        <v/>
      </c>
      <c r="I269" s="188" t="str">
        <f t="shared" si="21"/>
        <v/>
      </c>
    </row>
    <row r="270" spans="1:9">
      <c r="A270">
        <v>267</v>
      </c>
      <c r="B270" s="46">
        <v>45711</v>
      </c>
      <c r="C270" s="166">
        <v>83.044860149710715</v>
      </c>
      <c r="D270" s="166">
        <v>124.45770390135006</v>
      </c>
      <c r="E270" s="166">
        <f t="shared" si="20"/>
        <v>83.044860149710715</v>
      </c>
      <c r="F270" s="188" t="str">
        <f t="shared" si="22"/>
        <v/>
      </c>
      <c r="H270" t="str">
        <f t="shared" si="23"/>
        <v/>
      </c>
      <c r="I270" s="188" t="str">
        <f t="shared" si="21"/>
        <v/>
      </c>
    </row>
    <row r="271" spans="1:9">
      <c r="A271">
        <v>268</v>
      </c>
      <c r="B271" s="46">
        <v>45712</v>
      </c>
      <c r="C271" s="166">
        <v>99.154974373714424</v>
      </c>
      <c r="D271" s="166">
        <v>124.45770390135006</v>
      </c>
      <c r="E271" s="166">
        <f t="shared" si="20"/>
        <v>99.154974373714424</v>
      </c>
      <c r="F271" s="188" t="str">
        <f t="shared" si="22"/>
        <v/>
      </c>
      <c r="H271" t="str">
        <f t="shared" si="23"/>
        <v/>
      </c>
      <c r="I271" s="188" t="str">
        <f t="shared" si="21"/>
        <v/>
      </c>
    </row>
    <row r="272" spans="1:9">
      <c r="A272">
        <v>269</v>
      </c>
      <c r="B272" s="46">
        <v>45713</v>
      </c>
      <c r="C272" s="166">
        <v>110.72487132571072</v>
      </c>
      <c r="D272" s="166">
        <v>124.45770390135006</v>
      </c>
      <c r="E272" s="166">
        <f t="shared" si="20"/>
        <v>110.72487132571072</v>
      </c>
      <c r="F272" s="188" t="str">
        <f t="shared" si="22"/>
        <v/>
      </c>
      <c r="H272" t="str">
        <f t="shared" si="23"/>
        <v/>
      </c>
      <c r="I272" s="188" t="str">
        <f t="shared" si="21"/>
        <v/>
      </c>
    </row>
    <row r="273" spans="1:9">
      <c r="A273">
        <v>270</v>
      </c>
      <c r="B273" s="46">
        <v>45714</v>
      </c>
      <c r="C273" s="166">
        <v>124.40638517880809</v>
      </c>
      <c r="D273" s="166">
        <v>124.45770390135006</v>
      </c>
      <c r="E273" s="166">
        <f t="shared" si="20"/>
        <v>124.40638517880809</v>
      </c>
      <c r="F273" s="188" t="str">
        <f t="shared" si="22"/>
        <v/>
      </c>
      <c r="H273" t="str">
        <f t="shared" si="23"/>
        <v/>
      </c>
      <c r="I273" s="188" t="str">
        <f t="shared" si="21"/>
        <v/>
      </c>
    </row>
    <row r="274" spans="1:9">
      <c r="A274">
        <v>271</v>
      </c>
      <c r="B274" s="46">
        <v>45715</v>
      </c>
      <c r="C274" s="166">
        <v>138.88854172280622</v>
      </c>
      <c r="D274" s="166">
        <v>124.45770390135006</v>
      </c>
      <c r="E274" s="166">
        <f t="shared" si="20"/>
        <v>124.45770390135006</v>
      </c>
      <c r="F274" s="188" t="str">
        <f t="shared" si="22"/>
        <v/>
      </c>
      <c r="H274" t="str">
        <f t="shared" si="23"/>
        <v/>
      </c>
      <c r="I274" s="188" t="str">
        <f t="shared" si="21"/>
        <v/>
      </c>
    </row>
    <row r="275" spans="1:9">
      <c r="A275">
        <v>272</v>
      </c>
      <c r="B275" s="46">
        <v>45716</v>
      </c>
      <c r="C275" s="166">
        <v>131.33349814280808</v>
      </c>
      <c r="D275" s="166">
        <v>124.45770390135006</v>
      </c>
      <c r="E275" s="166">
        <f t="shared" si="20"/>
        <v>124.45770390135006</v>
      </c>
      <c r="F275" s="188" t="str">
        <f t="shared" si="22"/>
        <v/>
      </c>
      <c r="H275" t="str">
        <f t="shared" si="23"/>
        <v/>
      </c>
      <c r="I275" s="188" t="str">
        <f t="shared" si="21"/>
        <v/>
      </c>
    </row>
    <row r="276" spans="1:9">
      <c r="A276">
        <v>273</v>
      </c>
      <c r="B276" s="46">
        <v>45717</v>
      </c>
      <c r="C276" s="166">
        <v>80.165669062808078</v>
      </c>
      <c r="D276" s="166">
        <v>129.67177197597073</v>
      </c>
      <c r="E276" s="166">
        <f t="shared" si="20"/>
        <v>80.165669062808078</v>
      </c>
      <c r="F276" s="188" t="str">
        <f t="shared" si="22"/>
        <v/>
      </c>
      <c r="H276" t="str">
        <f t="shared" si="23"/>
        <v/>
      </c>
      <c r="I276" s="188" t="str">
        <f t="shared" si="21"/>
        <v/>
      </c>
    </row>
    <row r="277" spans="1:9">
      <c r="A277">
        <v>274</v>
      </c>
      <c r="B277" s="46">
        <v>45718</v>
      </c>
      <c r="C277" s="166">
        <v>73.145512046808079</v>
      </c>
      <c r="D277" s="166">
        <v>129.67177197597073</v>
      </c>
      <c r="E277" s="166">
        <f t="shared" si="20"/>
        <v>73.145512046808079</v>
      </c>
      <c r="F277" s="188" t="str">
        <f t="shared" si="22"/>
        <v/>
      </c>
      <c r="H277" t="str">
        <f t="shared" si="23"/>
        <v/>
      </c>
      <c r="I277" s="188" t="str">
        <f t="shared" si="21"/>
        <v/>
      </c>
    </row>
    <row r="278" spans="1:9">
      <c r="A278">
        <v>275</v>
      </c>
      <c r="B278" s="46">
        <v>45719</v>
      </c>
      <c r="C278" s="166">
        <v>121.25406093080623</v>
      </c>
      <c r="D278" s="166">
        <v>129.67177197597073</v>
      </c>
      <c r="E278" s="166">
        <f t="shared" si="20"/>
        <v>121.25406093080623</v>
      </c>
      <c r="F278" s="188" t="str">
        <f t="shared" si="22"/>
        <v/>
      </c>
      <c r="H278" t="str">
        <f t="shared" si="23"/>
        <v/>
      </c>
      <c r="I278" s="188" t="str">
        <f t="shared" si="21"/>
        <v/>
      </c>
    </row>
    <row r="279" spans="1:9">
      <c r="A279">
        <v>276</v>
      </c>
      <c r="B279" s="46">
        <v>45720</v>
      </c>
      <c r="C279" s="166">
        <v>119.62993390280809</v>
      </c>
      <c r="D279" s="166">
        <v>129.67177197597073</v>
      </c>
      <c r="E279" s="166">
        <f t="shared" si="20"/>
        <v>119.62993390280809</v>
      </c>
      <c r="F279" s="188" t="str">
        <f t="shared" si="22"/>
        <v/>
      </c>
      <c r="H279" t="str">
        <f t="shared" si="23"/>
        <v/>
      </c>
      <c r="I279" s="188" t="str">
        <f t="shared" si="21"/>
        <v/>
      </c>
    </row>
    <row r="280" spans="1:9">
      <c r="A280">
        <v>277</v>
      </c>
      <c r="B280" s="46">
        <v>45721</v>
      </c>
      <c r="C280" s="166">
        <v>186.19599156423655</v>
      </c>
      <c r="D280" s="166">
        <v>129.67177197597073</v>
      </c>
      <c r="E280" s="166">
        <f t="shared" si="20"/>
        <v>129.67177197597073</v>
      </c>
      <c r="F280" s="188" t="str">
        <f t="shared" si="22"/>
        <v/>
      </c>
      <c r="H280" t="str">
        <f t="shared" si="23"/>
        <v/>
      </c>
      <c r="I280" s="188" t="str">
        <f t="shared" si="21"/>
        <v/>
      </c>
    </row>
    <row r="281" spans="1:9">
      <c r="A281">
        <v>278</v>
      </c>
      <c r="B281" s="46">
        <v>45722</v>
      </c>
      <c r="C281" s="166">
        <v>177.20844322823655</v>
      </c>
      <c r="D281" s="166">
        <v>129.67177197597073</v>
      </c>
      <c r="E281" s="166">
        <f t="shared" si="20"/>
        <v>129.67177197597073</v>
      </c>
      <c r="F281" s="188" t="str">
        <f t="shared" si="22"/>
        <v/>
      </c>
      <c r="H281" t="str">
        <f t="shared" si="23"/>
        <v/>
      </c>
      <c r="I281" s="188" t="str">
        <f t="shared" si="21"/>
        <v/>
      </c>
    </row>
    <row r="282" spans="1:9">
      <c r="A282">
        <v>279</v>
      </c>
      <c r="B282" s="46">
        <v>45723</v>
      </c>
      <c r="C282" s="166">
        <v>163.06308969623467</v>
      </c>
      <c r="D282" s="166">
        <v>129.67177197597073</v>
      </c>
      <c r="E282" s="166">
        <f t="shared" si="20"/>
        <v>129.67177197597073</v>
      </c>
      <c r="F282" s="188" t="str">
        <f t="shared" si="22"/>
        <v/>
      </c>
      <c r="H282" t="str">
        <f t="shared" si="23"/>
        <v/>
      </c>
      <c r="I282" s="188" t="str">
        <f t="shared" si="21"/>
        <v/>
      </c>
    </row>
    <row r="283" spans="1:9">
      <c r="A283">
        <v>280</v>
      </c>
      <c r="B283" s="46">
        <v>45724</v>
      </c>
      <c r="C283" s="166">
        <v>125.69828429223841</v>
      </c>
      <c r="D283" s="166">
        <v>129.67177197597073</v>
      </c>
      <c r="E283" s="166">
        <f t="shared" si="20"/>
        <v>125.69828429223841</v>
      </c>
      <c r="F283" s="188" t="str">
        <f t="shared" si="22"/>
        <v/>
      </c>
      <c r="H283" t="str">
        <f t="shared" si="23"/>
        <v/>
      </c>
      <c r="I283" s="188" t="str">
        <f t="shared" si="21"/>
        <v/>
      </c>
    </row>
    <row r="284" spans="1:9">
      <c r="A284">
        <v>281</v>
      </c>
      <c r="B284" s="46">
        <v>45725</v>
      </c>
      <c r="C284" s="166">
        <v>150.68621081623471</v>
      </c>
      <c r="D284" s="166">
        <v>129.67177197597073</v>
      </c>
      <c r="E284" s="166">
        <f t="shared" si="20"/>
        <v>129.67177197597073</v>
      </c>
      <c r="F284" s="188" t="str">
        <f t="shared" si="22"/>
        <v/>
      </c>
      <c r="H284" t="str">
        <f t="shared" si="23"/>
        <v/>
      </c>
      <c r="I284" s="188" t="str">
        <f t="shared" si="21"/>
        <v/>
      </c>
    </row>
    <row r="285" spans="1:9">
      <c r="A285">
        <v>282</v>
      </c>
      <c r="B285" s="46">
        <v>45726</v>
      </c>
      <c r="C285" s="166">
        <v>203.33182016823656</v>
      </c>
      <c r="D285" s="166">
        <v>129.67177197597073</v>
      </c>
      <c r="E285" s="166">
        <f t="shared" si="20"/>
        <v>129.67177197597073</v>
      </c>
      <c r="F285" s="188" t="str">
        <f t="shared" si="22"/>
        <v/>
      </c>
      <c r="H285" t="str">
        <f t="shared" si="23"/>
        <v/>
      </c>
      <c r="I285" s="188" t="str">
        <f t="shared" si="21"/>
        <v/>
      </c>
    </row>
    <row r="286" spans="1:9">
      <c r="A286">
        <v>283</v>
      </c>
      <c r="B286" s="46">
        <v>45727</v>
      </c>
      <c r="C286" s="166">
        <v>206.57750930423285</v>
      </c>
      <c r="D286" s="166">
        <v>129.67177197597073</v>
      </c>
      <c r="E286" s="166">
        <f t="shared" si="20"/>
        <v>129.67177197597073</v>
      </c>
      <c r="F286" s="188" t="str">
        <f t="shared" si="22"/>
        <v/>
      </c>
      <c r="H286" t="str">
        <f t="shared" si="23"/>
        <v/>
      </c>
      <c r="I286" s="188" t="str">
        <f t="shared" si="21"/>
        <v/>
      </c>
    </row>
    <row r="287" spans="1:9">
      <c r="A287">
        <v>284</v>
      </c>
      <c r="B287" s="46">
        <v>45728</v>
      </c>
      <c r="C287" s="166">
        <v>260.72134208219273</v>
      </c>
      <c r="D287" s="166">
        <v>129.67177197597073</v>
      </c>
      <c r="E287" s="166">
        <f t="shared" si="20"/>
        <v>129.67177197597073</v>
      </c>
      <c r="F287" s="188" t="str">
        <f t="shared" si="22"/>
        <v/>
      </c>
      <c r="H287" t="str">
        <f t="shared" si="23"/>
        <v/>
      </c>
      <c r="I287" s="188" t="str">
        <f t="shared" si="21"/>
        <v/>
      </c>
    </row>
    <row r="288" spans="1:9">
      <c r="A288">
        <v>285</v>
      </c>
      <c r="B288" s="46">
        <v>45729</v>
      </c>
      <c r="C288" s="166">
        <v>279.58361424218526</v>
      </c>
      <c r="D288" s="166">
        <v>129.67177197597073</v>
      </c>
      <c r="E288" s="166">
        <f t="shared" si="20"/>
        <v>129.67177197597073</v>
      </c>
      <c r="F288" s="188" t="str">
        <f t="shared" si="22"/>
        <v/>
      </c>
      <c r="H288" t="str">
        <f t="shared" si="23"/>
        <v/>
      </c>
      <c r="I288" s="188" t="str">
        <f t="shared" si="21"/>
        <v/>
      </c>
    </row>
    <row r="289" spans="1:9">
      <c r="A289">
        <v>286</v>
      </c>
      <c r="B289" s="46">
        <v>45730</v>
      </c>
      <c r="C289" s="166">
        <v>269.008879670189</v>
      </c>
      <c r="D289" s="166">
        <v>129.67177197597073</v>
      </c>
      <c r="E289" s="166">
        <f t="shared" si="20"/>
        <v>129.67177197597073</v>
      </c>
      <c r="F289" s="188" t="str">
        <f t="shared" si="22"/>
        <v/>
      </c>
      <c r="H289" t="str">
        <f t="shared" si="23"/>
        <v/>
      </c>
      <c r="I289" s="188" t="str">
        <f t="shared" si="21"/>
        <v/>
      </c>
    </row>
    <row r="290" spans="1:9">
      <c r="A290">
        <v>287</v>
      </c>
      <c r="B290" s="46">
        <v>45731</v>
      </c>
      <c r="C290" s="166">
        <v>259.37094106618713</v>
      </c>
      <c r="D290" s="166">
        <v>129.67177197597073</v>
      </c>
      <c r="E290" s="166">
        <f t="shared" si="20"/>
        <v>129.67177197597073</v>
      </c>
      <c r="F290" s="188" t="str">
        <f t="shared" si="22"/>
        <v>M</v>
      </c>
      <c r="H290" t="str">
        <f t="shared" si="23"/>
        <v/>
      </c>
      <c r="I290" s="188" t="str">
        <f t="shared" si="21"/>
        <v>M</v>
      </c>
    </row>
    <row r="291" spans="1:9">
      <c r="A291">
        <v>288</v>
      </c>
      <c r="B291" s="46">
        <v>45732</v>
      </c>
      <c r="C291" s="166">
        <v>258.50991149818901</v>
      </c>
      <c r="D291" s="166">
        <v>129.67177197597073</v>
      </c>
      <c r="E291" s="166">
        <f t="shared" si="20"/>
        <v>129.67177197597073</v>
      </c>
      <c r="F291" s="188" t="str">
        <f t="shared" si="22"/>
        <v/>
      </c>
      <c r="G291" s="189" t="str">
        <f>IF(DAY(B291)=15,D291,"")</f>
        <v/>
      </c>
      <c r="H291" t="str">
        <f t="shared" si="23"/>
        <v/>
      </c>
      <c r="I291" s="188" t="str">
        <f t="shared" si="21"/>
        <v/>
      </c>
    </row>
    <row r="292" spans="1:9">
      <c r="A292">
        <v>289</v>
      </c>
      <c r="B292" s="46">
        <v>45733</v>
      </c>
      <c r="C292" s="166">
        <v>274.74497879018713</v>
      </c>
      <c r="D292" s="166">
        <v>129.67177197597073</v>
      </c>
      <c r="E292" s="166">
        <f t="shared" si="20"/>
        <v>129.67177197597073</v>
      </c>
      <c r="F292" s="188" t="str">
        <f t="shared" si="22"/>
        <v/>
      </c>
      <c r="H292" t="str">
        <f t="shared" si="23"/>
        <v/>
      </c>
      <c r="I292" s="188" t="str">
        <f t="shared" si="21"/>
        <v/>
      </c>
    </row>
    <row r="293" spans="1:9">
      <c r="A293">
        <v>290</v>
      </c>
      <c r="B293" s="46">
        <v>45734</v>
      </c>
      <c r="C293" s="166">
        <v>268.39013511018896</v>
      </c>
      <c r="D293" s="166">
        <v>129.67177197597073</v>
      </c>
      <c r="E293" s="166">
        <f t="shared" si="20"/>
        <v>129.67177197597073</v>
      </c>
      <c r="F293" s="188" t="str">
        <f t="shared" si="22"/>
        <v/>
      </c>
      <c r="H293" t="str">
        <f t="shared" si="23"/>
        <v/>
      </c>
      <c r="I293" s="188" t="str">
        <f t="shared" si="21"/>
        <v/>
      </c>
    </row>
    <row r="294" spans="1:9">
      <c r="A294">
        <v>291</v>
      </c>
      <c r="B294" s="46">
        <v>45735</v>
      </c>
      <c r="C294" s="166">
        <v>253.51327585485873</v>
      </c>
      <c r="D294" s="166">
        <v>129.67177197597073</v>
      </c>
      <c r="E294" s="166">
        <f t="shared" si="20"/>
        <v>129.67177197597073</v>
      </c>
      <c r="F294" s="188" t="str">
        <f t="shared" si="22"/>
        <v/>
      </c>
      <c r="H294" t="str">
        <f t="shared" si="23"/>
        <v/>
      </c>
      <c r="I294" s="188" t="str">
        <f t="shared" si="21"/>
        <v/>
      </c>
    </row>
    <row r="295" spans="1:9">
      <c r="A295">
        <v>292</v>
      </c>
      <c r="B295" s="46">
        <v>45736</v>
      </c>
      <c r="C295" s="166">
        <v>244.80423513085688</v>
      </c>
      <c r="D295" s="166">
        <v>129.67177197597073</v>
      </c>
      <c r="E295" s="166">
        <f t="shared" si="20"/>
        <v>129.67177197597073</v>
      </c>
      <c r="F295" s="188" t="str">
        <f t="shared" si="22"/>
        <v/>
      </c>
      <c r="H295" t="str">
        <f t="shared" si="23"/>
        <v/>
      </c>
      <c r="I295" s="188" t="str">
        <f t="shared" si="21"/>
        <v/>
      </c>
    </row>
    <row r="296" spans="1:9">
      <c r="A296">
        <v>293</v>
      </c>
      <c r="B296" s="46">
        <v>45737</v>
      </c>
      <c r="C296" s="166">
        <v>249.04932323485875</v>
      </c>
      <c r="D296" s="166">
        <v>129.67177197597073</v>
      </c>
      <c r="E296" s="166">
        <f t="shared" si="20"/>
        <v>129.67177197597073</v>
      </c>
      <c r="F296" s="188" t="str">
        <f t="shared" si="22"/>
        <v/>
      </c>
      <c r="H296" t="str">
        <f t="shared" si="23"/>
        <v/>
      </c>
      <c r="I296" s="188" t="str">
        <f t="shared" si="21"/>
        <v/>
      </c>
    </row>
    <row r="297" spans="1:9">
      <c r="A297">
        <v>294</v>
      </c>
      <c r="B297" s="46">
        <v>45738</v>
      </c>
      <c r="C297" s="166">
        <v>257.70342058285877</v>
      </c>
      <c r="D297" s="166">
        <v>129.67177197597073</v>
      </c>
      <c r="E297" s="166">
        <f t="shared" si="20"/>
        <v>129.67177197597073</v>
      </c>
      <c r="F297" s="188" t="str">
        <f t="shared" si="22"/>
        <v/>
      </c>
      <c r="H297" t="str">
        <f t="shared" si="23"/>
        <v/>
      </c>
      <c r="I297" s="188" t="str">
        <f t="shared" si="21"/>
        <v/>
      </c>
    </row>
    <row r="298" spans="1:9">
      <c r="A298">
        <v>295</v>
      </c>
      <c r="B298" s="46">
        <v>45739</v>
      </c>
      <c r="C298" s="166">
        <v>264.51629984285876</v>
      </c>
      <c r="D298" s="166">
        <v>129.67177197597073</v>
      </c>
      <c r="E298" s="166">
        <f t="shared" si="20"/>
        <v>129.67177197597073</v>
      </c>
      <c r="F298" s="188" t="str">
        <f t="shared" si="22"/>
        <v/>
      </c>
      <c r="H298" t="str">
        <f t="shared" si="23"/>
        <v/>
      </c>
      <c r="I298" s="188" t="str">
        <f t="shared" si="21"/>
        <v/>
      </c>
    </row>
    <row r="299" spans="1:9">
      <c r="A299">
        <v>296</v>
      </c>
      <c r="B299" s="46">
        <v>45740</v>
      </c>
      <c r="C299" s="166">
        <v>287.37526099486064</v>
      </c>
      <c r="D299" s="166">
        <v>129.67177197597073</v>
      </c>
      <c r="E299" s="166">
        <f t="shared" si="20"/>
        <v>129.67177197597073</v>
      </c>
      <c r="F299" s="188" t="str">
        <f t="shared" si="22"/>
        <v/>
      </c>
      <c r="H299" t="str">
        <f t="shared" si="23"/>
        <v/>
      </c>
      <c r="I299" s="188" t="str">
        <f t="shared" si="21"/>
        <v/>
      </c>
    </row>
    <row r="300" spans="1:9">
      <c r="A300">
        <v>297</v>
      </c>
      <c r="B300" s="46">
        <v>45741</v>
      </c>
      <c r="C300" s="166">
        <v>304.05147339086062</v>
      </c>
      <c r="D300" s="166">
        <v>129.67177197597073</v>
      </c>
      <c r="E300" s="166">
        <f t="shared" si="20"/>
        <v>129.67177197597073</v>
      </c>
      <c r="F300" s="188" t="str">
        <f t="shared" si="22"/>
        <v/>
      </c>
      <c r="H300" t="str">
        <f t="shared" si="23"/>
        <v/>
      </c>
      <c r="I300" s="188" t="str">
        <f t="shared" si="21"/>
        <v/>
      </c>
    </row>
    <row r="301" spans="1:9">
      <c r="A301">
        <v>298</v>
      </c>
      <c r="B301" s="46">
        <v>45742</v>
      </c>
      <c r="C301" s="166">
        <v>243.45238422999719</v>
      </c>
      <c r="D301" s="166">
        <v>129.67177197597073</v>
      </c>
      <c r="E301" s="166">
        <f t="shared" si="20"/>
        <v>129.67177197597073</v>
      </c>
      <c r="F301" s="188" t="str">
        <f t="shared" si="22"/>
        <v/>
      </c>
      <c r="H301" t="str">
        <f t="shared" si="23"/>
        <v/>
      </c>
      <c r="I301" s="188" t="str">
        <f t="shared" si="21"/>
        <v/>
      </c>
    </row>
    <row r="302" spans="1:9">
      <c r="A302">
        <v>299</v>
      </c>
      <c r="B302" s="46">
        <v>45743</v>
      </c>
      <c r="C302" s="166">
        <v>244.45377604599909</v>
      </c>
      <c r="D302" s="166">
        <v>129.67177197597073</v>
      </c>
      <c r="E302" s="166">
        <f t="shared" si="20"/>
        <v>129.67177197597073</v>
      </c>
      <c r="F302" s="188" t="str">
        <f t="shared" si="22"/>
        <v/>
      </c>
      <c r="H302" t="str">
        <f t="shared" si="23"/>
        <v/>
      </c>
      <c r="I302" s="188" t="str">
        <f t="shared" si="21"/>
        <v/>
      </c>
    </row>
    <row r="303" spans="1:9">
      <c r="A303">
        <v>300</v>
      </c>
      <c r="B303" s="46">
        <v>45744</v>
      </c>
      <c r="C303" s="166">
        <v>231.54739772199534</v>
      </c>
      <c r="D303" s="166">
        <v>129.67177197597073</v>
      </c>
      <c r="E303" s="166">
        <f t="shared" si="20"/>
        <v>129.67177197597073</v>
      </c>
      <c r="F303" s="188" t="str">
        <f t="shared" si="22"/>
        <v/>
      </c>
      <c r="H303" t="str">
        <f t="shared" si="23"/>
        <v/>
      </c>
      <c r="I303" s="188" t="str">
        <f t="shared" si="21"/>
        <v/>
      </c>
    </row>
    <row r="304" spans="1:9">
      <c r="A304">
        <v>301</v>
      </c>
      <c r="B304" s="46">
        <v>45745</v>
      </c>
      <c r="C304" s="166">
        <v>192.43641107399907</v>
      </c>
      <c r="D304" s="166">
        <v>129.67177197597073</v>
      </c>
      <c r="E304" s="166">
        <f t="shared" si="20"/>
        <v>129.67177197597073</v>
      </c>
      <c r="F304" s="188" t="str">
        <f t="shared" si="22"/>
        <v/>
      </c>
      <c r="H304" t="str">
        <f t="shared" si="23"/>
        <v/>
      </c>
      <c r="I304" s="188" t="str">
        <f t="shared" si="21"/>
        <v/>
      </c>
    </row>
    <row r="305" spans="1:9">
      <c r="A305">
        <v>302</v>
      </c>
      <c r="B305" s="46">
        <v>45746</v>
      </c>
      <c r="C305" s="166">
        <v>164.16849898999905</v>
      </c>
      <c r="D305" s="166">
        <v>129.67177197597073</v>
      </c>
      <c r="E305" s="166">
        <f t="shared" si="20"/>
        <v>129.67177197597073</v>
      </c>
      <c r="F305" s="188" t="str">
        <f t="shared" si="22"/>
        <v/>
      </c>
      <c r="H305" t="str">
        <f t="shared" si="23"/>
        <v/>
      </c>
      <c r="I305" s="188" t="str">
        <f t="shared" si="21"/>
        <v/>
      </c>
    </row>
    <row r="306" spans="1:9">
      <c r="A306">
        <v>303</v>
      </c>
      <c r="B306" s="46">
        <v>45747</v>
      </c>
      <c r="C306" s="166">
        <v>195.20431016599906</v>
      </c>
      <c r="D306" s="166">
        <v>129.67177197597073</v>
      </c>
      <c r="E306" s="166">
        <f t="shared" si="20"/>
        <v>129.67177197597073</v>
      </c>
      <c r="F306" s="188" t="str">
        <f t="shared" si="22"/>
        <v/>
      </c>
      <c r="H306" t="str">
        <f t="shared" si="23"/>
        <v/>
      </c>
      <c r="I306" s="188" t="str">
        <f t="shared" si="21"/>
        <v/>
      </c>
    </row>
    <row r="307" spans="1:9">
      <c r="A307">
        <v>304</v>
      </c>
      <c r="B307" s="46">
        <v>45748</v>
      </c>
      <c r="C307" s="166">
        <v>221.26320911799905</v>
      </c>
      <c r="D307" s="166">
        <v>123.24737037204483</v>
      </c>
      <c r="E307" s="166">
        <f t="shared" si="20"/>
        <v>123.24737037204483</v>
      </c>
      <c r="F307" s="188" t="str">
        <f t="shared" si="22"/>
        <v/>
      </c>
      <c r="H307" t="str">
        <f t="shared" si="23"/>
        <v/>
      </c>
      <c r="I307" s="188" t="str">
        <f t="shared" si="21"/>
        <v/>
      </c>
    </row>
    <row r="308" spans="1:9">
      <c r="A308">
        <v>305</v>
      </c>
      <c r="B308" s="46">
        <v>45749</v>
      </c>
      <c r="C308" s="166">
        <v>180.55333993612359</v>
      </c>
      <c r="D308" s="166">
        <v>123.24737037204483</v>
      </c>
      <c r="E308" s="166">
        <f t="shared" si="20"/>
        <v>123.24737037204483</v>
      </c>
      <c r="F308" s="188" t="str">
        <f t="shared" si="22"/>
        <v/>
      </c>
      <c r="H308" t="str">
        <f t="shared" si="23"/>
        <v/>
      </c>
      <c r="I308" s="188" t="str">
        <f t="shared" si="21"/>
        <v/>
      </c>
    </row>
    <row r="309" spans="1:9">
      <c r="A309">
        <v>306</v>
      </c>
      <c r="B309" s="46">
        <v>45750</v>
      </c>
      <c r="C309" s="166">
        <v>180.96091761611987</v>
      </c>
      <c r="D309" s="166">
        <v>123.24737037204483</v>
      </c>
      <c r="E309" s="166">
        <f t="shared" si="20"/>
        <v>123.24737037204483</v>
      </c>
      <c r="F309" s="188" t="str">
        <f t="shared" si="22"/>
        <v/>
      </c>
      <c r="H309" t="str">
        <f t="shared" si="23"/>
        <v/>
      </c>
      <c r="I309" s="188" t="str">
        <f t="shared" si="21"/>
        <v/>
      </c>
    </row>
    <row r="310" spans="1:9">
      <c r="A310">
        <v>307</v>
      </c>
      <c r="B310" s="46">
        <v>45751</v>
      </c>
      <c r="C310" s="166">
        <v>168.0264570641236</v>
      </c>
      <c r="D310" s="166">
        <v>123.24737037204483</v>
      </c>
      <c r="E310" s="166">
        <f t="shared" si="20"/>
        <v>123.24737037204483</v>
      </c>
      <c r="F310" s="188" t="str">
        <f t="shared" si="22"/>
        <v/>
      </c>
      <c r="H310" t="str">
        <f t="shared" si="23"/>
        <v/>
      </c>
      <c r="I310" s="188" t="str">
        <f t="shared" si="21"/>
        <v/>
      </c>
    </row>
    <row r="311" spans="1:9">
      <c r="A311">
        <v>308</v>
      </c>
      <c r="B311" s="46">
        <v>45752</v>
      </c>
      <c r="C311" s="166">
        <v>159.83679114012355</v>
      </c>
      <c r="D311" s="166">
        <v>123.24737037204483</v>
      </c>
      <c r="E311" s="166">
        <f t="shared" si="20"/>
        <v>123.24737037204483</v>
      </c>
      <c r="F311" s="188" t="str">
        <f t="shared" si="22"/>
        <v/>
      </c>
      <c r="H311" t="str">
        <f t="shared" si="23"/>
        <v/>
      </c>
      <c r="I311" s="188" t="str">
        <f t="shared" si="21"/>
        <v/>
      </c>
    </row>
    <row r="312" spans="1:9">
      <c r="A312">
        <v>309</v>
      </c>
      <c r="B312" s="46">
        <v>45753</v>
      </c>
      <c r="C312" s="166">
        <v>156.55629739611985</v>
      </c>
      <c r="D312" s="166">
        <v>123.24737037204483</v>
      </c>
      <c r="E312" s="166">
        <f t="shared" si="20"/>
        <v>123.24737037204483</v>
      </c>
      <c r="F312" s="188" t="str">
        <f t="shared" si="22"/>
        <v/>
      </c>
      <c r="H312" t="str">
        <f t="shared" si="23"/>
        <v/>
      </c>
      <c r="I312" s="188" t="str">
        <f t="shared" si="21"/>
        <v/>
      </c>
    </row>
    <row r="313" spans="1:9">
      <c r="A313">
        <v>310</v>
      </c>
      <c r="B313" s="46">
        <v>45754</v>
      </c>
      <c r="C313" s="166">
        <v>182.76668061212357</v>
      </c>
      <c r="D313" s="166">
        <v>123.24737037204483</v>
      </c>
      <c r="E313" s="166">
        <f t="shared" si="20"/>
        <v>123.24737037204483</v>
      </c>
      <c r="F313" s="188" t="str">
        <f t="shared" si="22"/>
        <v/>
      </c>
      <c r="H313" t="str">
        <f t="shared" si="23"/>
        <v/>
      </c>
      <c r="I313" s="188" t="str">
        <f t="shared" si="21"/>
        <v/>
      </c>
    </row>
    <row r="314" spans="1:9">
      <c r="A314">
        <v>311</v>
      </c>
      <c r="B314" s="46">
        <v>45755</v>
      </c>
      <c r="C314" s="166">
        <v>188.01215362812172</v>
      </c>
      <c r="D314" s="166">
        <v>123.24737037204483</v>
      </c>
      <c r="E314" s="166">
        <f t="shared" si="20"/>
        <v>123.24737037204483</v>
      </c>
      <c r="F314" s="188" t="str">
        <f t="shared" si="22"/>
        <v/>
      </c>
      <c r="H314" t="str">
        <f t="shared" si="23"/>
        <v/>
      </c>
      <c r="I314" s="188" t="str">
        <f t="shared" si="21"/>
        <v/>
      </c>
    </row>
    <row r="315" spans="1:9">
      <c r="A315">
        <v>312</v>
      </c>
      <c r="B315" s="46">
        <v>45756</v>
      </c>
      <c r="C315" s="166">
        <v>173.92783060485559</v>
      </c>
      <c r="D315" s="166">
        <v>123.24737037204483</v>
      </c>
      <c r="E315" s="166">
        <f t="shared" si="20"/>
        <v>123.24737037204483</v>
      </c>
      <c r="F315" s="188" t="str">
        <f t="shared" si="22"/>
        <v/>
      </c>
      <c r="H315" t="str">
        <f t="shared" si="23"/>
        <v/>
      </c>
      <c r="I315" s="188" t="str">
        <f t="shared" si="21"/>
        <v/>
      </c>
    </row>
    <row r="316" spans="1:9">
      <c r="A316">
        <v>313</v>
      </c>
      <c r="B316" s="46">
        <v>45757</v>
      </c>
      <c r="C316" s="166">
        <v>156.26349872885743</v>
      </c>
      <c r="D316" s="166">
        <v>123.24737037204483</v>
      </c>
      <c r="E316" s="166">
        <f t="shared" si="20"/>
        <v>123.24737037204483</v>
      </c>
      <c r="F316" s="188" t="str">
        <f t="shared" si="22"/>
        <v/>
      </c>
      <c r="H316" t="str">
        <f t="shared" si="23"/>
        <v/>
      </c>
      <c r="I316" s="188" t="str">
        <f t="shared" si="21"/>
        <v/>
      </c>
    </row>
    <row r="317" spans="1:9">
      <c r="A317">
        <v>314</v>
      </c>
      <c r="B317" s="46">
        <v>45758</v>
      </c>
      <c r="C317" s="166">
        <v>162.35088714885558</v>
      </c>
      <c r="D317" s="166">
        <v>123.24737037204483</v>
      </c>
      <c r="E317" s="166">
        <f t="shared" si="20"/>
        <v>123.24737037204483</v>
      </c>
      <c r="F317" s="188" t="str">
        <f t="shared" si="22"/>
        <v/>
      </c>
      <c r="H317" t="str">
        <f t="shared" si="23"/>
        <v/>
      </c>
      <c r="I317" s="188" t="str">
        <f t="shared" si="21"/>
        <v/>
      </c>
    </row>
    <row r="318" spans="1:9">
      <c r="A318">
        <v>315</v>
      </c>
      <c r="B318" s="46">
        <v>45759</v>
      </c>
      <c r="C318" s="166">
        <v>167.50081851285557</v>
      </c>
      <c r="D318" s="166">
        <v>123.24737037204483</v>
      </c>
      <c r="E318" s="166">
        <f t="shared" si="20"/>
        <v>123.24737037204483</v>
      </c>
      <c r="F318" s="188" t="str">
        <f t="shared" si="22"/>
        <v/>
      </c>
      <c r="H318" t="str">
        <f t="shared" si="23"/>
        <v/>
      </c>
      <c r="I318" s="188" t="str">
        <f t="shared" si="21"/>
        <v/>
      </c>
    </row>
    <row r="319" spans="1:9">
      <c r="A319">
        <v>316</v>
      </c>
      <c r="B319" s="46">
        <v>45760</v>
      </c>
      <c r="C319" s="166">
        <v>150.47629389685369</v>
      </c>
      <c r="D319" s="166">
        <v>123.24737037204483</v>
      </c>
      <c r="E319" s="166">
        <f t="shared" si="20"/>
        <v>123.24737037204483</v>
      </c>
      <c r="F319" s="188" t="str">
        <f t="shared" si="22"/>
        <v/>
      </c>
      <c r="H319" t="str">
        <f t="shared" si="23"/>
        <v/>
      </c>
      <c r="I319" s="188" t="str">
        <f t="shared" si="21"/>
        <v/>
      </c>
    </row>
    <row r="320" spans="1:9">
      <c r="A320">
        <v>317</v>
      </c>
      <c r="B320" s="46">
        <v>45761</v>
      </c>
      <c r="C320" s="166">
        <v>158.20379072486116</v>
      </c>
      <c r="D320" s="166">
        <v>123.24737037204483</v>
      </c>
      <c r="E320" s="166">
        <f t="shared" si="20"/>
        <v>123.24737037204483</v>
      </c>
      <c r="F320" s="188" t="str">
        <f t="shared" si="22"/>
        <v/>
      </c>
      <c r="H320" t="str">
        <f t="shared" si="23"/>
        <v/>
      </c>
      <c r="I320" s="188" t="str">
        <f t="shared" si="21"/>
        <v/>
      </c>
    </row>
    <row r="321" spans="1:9">
      <c r="A321">
        <v>318</v>
      </c>
      <c r="B321" s="46">
        <v>45762</v>
      </c>
      <c r="C321" s="166">
        <v>143.51007596885557</v>
      </c>
      <c r="D321" s="166">
        <v>123.24737037204483</v>
      </c>
      <c r="E321" s="166">
        <f t="shared" si="20"/>
        <v>123.24737037204483</v>
      </c>
      <c r="F321" s="188" t="str">
        <f t="shared" si="22"/>
        <v>A</v>
      </c>
      <c r="H321" t="str">
        <f t="shared" si="23"/>
        <v/>
      </c>
      <c r="I321" s="188" t="str">
        <f t="shared" si="21"/>
        <v>A</v>
      </c>
    </row>
    <row r="322" spans="1:9">
      <c r="A322">
        <v>319</v>
      </c>
      <c r="B322" s="46">
        <v>45763</v>
      </c>
      <c r="C322" s="166">
        <v>199.65495369631856</v>
      </c>
      <c r="D322" s="166">
        <v>123.24737037204483</v>
      </c>
      <c r="E322" s="166">
        <f t="shared" si="20"/>
        <v>123.24737037204483</v>
      </c>
      <c r="F322" s="188" t="str">
        <f t="shared" si="22"/>
        <v/>
      </c>
      <c r="G322" s="189" t="str">
        <f>IF(DAY(B322)=15,D322,"")</f>
        <v/>
      </c>
      <c r="H322" t="str">
        <f t="shared" si="23"/>
        <v/>
      </c>
      <c r="I322" s="188" t="str">
        <f t="shared" si="21"/>
        <v/>
      </c>
    </row>
    <row r="323" spans="1:9">
      <c r="A323">
        <v>320</v>
      </c>
      <c r="B323" s="46">
        <v>45764</v>
      </c>
      <c r="C323" s="166">
        <v>196.65069835632417</v>
      </c>
      <c r="D323" s="166">
        <v>123.24737037204483</v>
      </c>
      <c r="E323" s="166">
        <f t="shared" si="20"/>
        <v>123.24737037204483</v>
      </c>
      <c r="F323" s="188" t="str">
        <f t="shared" si="22"/>
        <v/>
      </c>
      <c r="H323" t="str">
        <f t="shared" si="23"/>
        <v/>
      </c>
      <c r="I323" s="188" t="str">
        <f t="shared" si="21"/>
        <v/>
      </c>
    </row>
    <row r="324" spans="1:9">
      <c r="A324">
        <v>321</v>
      </c>
      <c r="B324" s="46">
        <v>45765</v>
      </c>
      <c r="C324" s="166">
        <v>192.75560723632046</v>
      </c>
      <c r="D324" s="166">
        <v>123.24737037204483</v>
      </c>
      <c r="E324" s="166">
        <f t="shared" ref="E324:E387" si="24">IF(C324&lt;D324,C324,D324)</f>
        <v>123.24737037204483</v>
      </c>
      <c r="F324" s="188" t="str">
        <f t="shared" ref="F324:F386" si="25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t="str">
        <f t="shared" si="23"/>
        <v/>
      </c>
      <c r="I324" s="188" t="str">
        <f t="shared" ref="I324:I387" si="26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9">
      <c r="A325">
        <v>322</v>
      </c>
      <c r="B325" s="46">
        <v>45766</v>
      </c>
      <c r="C325" s="166">
        <v>184.53763434032228</v>
      </c>
      <c r="D325" s="166">
        <v>123.24737037204483</v>
      </c>
      <c r="E325" s="166">
        <f t="shared" si="24"/>
        <v>123.24737037204483</v>
      </c>
      <c r="F325" s="188" t="str">
        <f t="shared" si="25"/>
        <v/>
      </c>
      <c r="H325" t="str">
        <f t="shared" ref="H325:H388" si="27">IF(MONTH(B325)=1,IF(DAY(B325)=1,YEAR(B325),""),"")</f>
        <v/>
      </c>
      <c r="I325" s="188" t="str">
        <f t="shared" si="26"/>
        <v/>
      </c>
    </row>
    <row r="326" spans="1:9">
      <c r="A326">
        <v>323</v>
      </c>
      <c r="B326" s="46">
        <v>45767</v>
      </c>
      <c r="C326" s="166">
        <v>200.91232633632416</v>
      </c>
      <c r="D326" s="166">
        <v>123.24737037204483</v>
      </c>
      <c r="E326" s="166">
        <f t="shared" si="24"/>
        <v>123.24737037204483</v>
      </c>
      <c r="F326" s="188" t="str">
        <f t="shared" si="25"/>
        <v/>
      </c>
      <c r="H326" t="str">
        <f t="shared" si="27"/>
        <v/>
      </c>
      <c r="I326" s="188" t="str">
        <f t="shared" si="26"/>
        <v/>
      </c>
    </row>
    <row r="327" spans="1:9">
      <c r="A327">
        <v>324</v>
      </c>
      <c r="B327" s="46">
        <v>45768</v>
      </c>
      <c r="C327" s="166">
        <v>230.91631107632045</v>
      </c>
      <c r="D327" s="166">
        <v>123.24737037204483</v>
      </c>
      <c r="E327" s="166">
        <f t="shared" si="24"/>
        <v>123.24737037204483</v>
      </c>
      <c r="F327" s="188" t="str">
        <f t="shared" si="25"/>
        <v/>
      </c>
      <c r="H327" t="str">
        <f t="shared" si="27"/>
        <v/>
      </c>
      <c r="I327" s="188" t="str">
        <f t="shared" si="26"/>
        <v/>
      </c>
    </row>
    <row r="328" spans="1:9">
      <c r="A328">
        <v>325</v>
      </c>
      <c r="B328" s="46">
        <v>45769</v>
      </c>
      <c r="C328" s="166">
        <v>247.08795600432603</v>
      </c>
      <c r="D328" s="166">
        <v>123.24737037204483</v>
      </c>
      <c r="E328" s="166">
        <f t="shared" si="24"/>
        <v>123.24737037204483</v>
      </c>
      <c r="F328" s="188" t="str">
        <f t="shared" si="25"/>
        <v/>
      </c>
      <c r="H328" t="str">
        <f t="shared" si="27"/>
        <v/>
      </c>
      <c r="I328" s="188" t="str">
        <f t="shared" si="26"/>
        <v/>
      </c>
    </row>
    <row r="329" spans="1:9">
      <c r="A329">
        <v>326</v>
      </c>
      <c r="B329" s="46">
        <v>45770</v>
      </c>
      <c r="C329" s="166">
        <v>198.17274472807989</v>
      </c>
      <c r="D329" s="166">
        <v>123.24737037204483</v>
      </c>
      <c r="E329" s="166">
        <f t="shared" si="24"/>
        <v>123.24737037204483</v>
      </c>
      <c r="F329" s="188" t="str">
        <f t="shared" si="25"/>
        <v/>
      </c>
      <c r="H329" t="str">
        <f t="shared" si="27"/>
        <v/>
      </c>
      <c r="I329" s="188" t="str">
        <f t="shared" si="26"/>
        <v/>
      </c>
    </row>
    <row r="330" spans="1:9">
      <c r="A330">
        <v>327</v>
      </c>
      <c r="B330" s="46">
        <v>45771</v>
      </c>
      <c r="C330" s="166">
        <v>181.11172907207802</v>
      </c>
      <c r="D330" s="166">
        <v>123.24737037204483</v>
      </c>
      <c r="E330" s="166">
        <f t="shared" si="24"/>
        <v>123.24737037204483</v>
      </c>
      <c r="F330" s="188" t="str">
        <f t="shared" si="25"/>
        <v/>
      </c>
      <c r="H330" t="str">
        <f t="shared" si="27"/>
        <v/>
      </c>
      <c r="I330" s="188" t="str">
        <f t="shared" si="26"/>
        <v/>
      </c>
    </row>
    <row r="331" spans="1:9">
      <c r="A331">
        <v>328</v>
      </c>
      <c r="B331" s="46">
        <v>45772</v>
      </c>
      <c r="C331" s="166">
        <v>183.71328016008175</v>
      </c>
      <c r="D331" s="166">
        <v>123.24737037204483</v>
      </c>
      <c r="E331" s="166">
        <f t="shared" si="24"/>
        <v>123.24737037204483</v>
      </c>
      <c r="F331" s="188" t="str">
        <f t="shared" si="25"/>
        <v/>
      </c>
      <c r="H331" t="str">
        <f t="shared" si="27"/>
        <v/>
      </c>
      <c r="I331" s="188" t="str">
        <f t="shared" si="26"/>
        <v/>
      </c>
    </row>
    <row r="332" spans="1:9">
      <c r="A332">
        <v>329</v>
      </c>
      <c r="B332" s="46">
        <v>45773</v>
      </c>
      <c r="C332" s="166">
        <v>149.44226425208362</v>
      </c>
      <c r="D332" s="166">
        <v>123.24737037204483</v>
      </c>
      <c r="E332" s="166">
        <f t="shared" si="24"/>
        <v>123.24737037204483</v>
      </c>
      <c r="F332" s="188" t="str">
        <f t="shared" si="25"/>
        <v/>
      </c>
      <c r="H332" t="str">
        <f t="shared" si="27"/>
        <v/>
      </c>
      <c r="I332" s="188" t="str">
        <f t="shared" si="26"/>
        <v/>
      </c>
    </row>
    <row r="333" spans="1:9">
      <c r="A333">
        <v>330</v>
      </c>
      <c r="B333" s="46">
        <v>45774</v>
      </c>
      <c r="C333" s="166">
        <v>134.9404650680836</v>
      </c>
      <c r="D333" s="166">
        <v>123.24737037204483</v>
      </c>
      <c r="E333" s="166">
        <f t="shared" si="24"/>
        <v>123.24737037204483</v>
      </c>
      <c r="F333" s="188" t="str">
        <f t="shared" si="25"/>
        <v/>
      </c>
      <c r="H333" t="str">
        <f t="shared" si="27"/>
        <v/>
      </c>
      <c r="I333" s="188" t="str">
        <f t="shared" si="26"/>
        <v/>
      </c>
    </row>
    <row r="334" spans="1:9">
      <c r="A334">
        <v>331</v>
      </c>
      <c r="B334" s="46">
        <v>45775</v>
      </c>
      <c r="C334" s="166">
        <v>135.31203220407616</v>
      </c>
      <c r="D334" s="166">
        <v>123.24737037204483</v>
      </c>
      <c r="E334" s="166">
        <f t="shared" si="24"/>
        <v>123.24737037204483</v>
      </c>
      <c r="F334" s="188" t="str">
        <f t="shared" si="25"/>
        <v/>
      </c>
      <c r="H334" t="str">
        <f t="shared" si="27"/>
        <v/>
      </c>
      <c r="I334" s="188" t="str">
        <f t="shared" si="26"/>
        <v/>
      </c>
    </row>
    <row r="335" spans="1:9">
      <c r="A335">
        <v>332</v>
      </c>
      <c r="B335" s="46">
        <v>45776</v>
      </c>
      <c r="C335" s="166">
        <v>199.45855122908358</v>
      </c>
      <c r="D335" s="166">
        <v>123.24737037204483</v>
      </c>
      <c r="E335" s="166">
        <f t="shared" si="24"/>
        <v>123.24737037204483</v>
      </c>
      <c r="F335" s="188" t="str">
        <f t="shared" si="25"/>
        <v/>
      </c>
      <c r="H335" t="str">
        <f t="shared" si="27"/>
        <v/>
      </c>
      <c r="I335" s="188" t="str">
        <f t="shared" si="26"/>
        <v/>
      </c>
    </row>
    <row r="336" spans="1:9">
      <c r="A336">
        <v>333</v>
      </c>
      <c r="B336" s="46">
        <v>45777</v>
      </c>
      <c r="C336" s="166">
        <v>158.02199179189697</v>
      </c>
      <c r="D336" s="166">
        <v>123.24737037204483</v>
      </c>
      <c r="E336" s="166">
        <f t="shared" si="24"/>
        <v>123.24737037204483</v>
      </c>
      <c r="F336" s="188" t="str">
        <f t="shared" si="25"/>
        <v/>
      </c>
      <c r="H336" t="str">
        <f t="shared" si="27"/>
        <v/>
      </c>
      <c r="I336" s="188" t="str">
        <f t="shared" si="26"/>
        <v/>
      </c>
    </row>
    <row r="337" spans="1:9">
      <c r="A337">
        <v>334</v>
      </c>
      <c r="B337" s="46">
        <v>45778</v>
      </c>
      <c r="C337" s="166">
        <v>140.25307234489512</v>
      </c>
      <c r="D337" s="166">
        <v>94.081084096418962</v>
      </c>
      <c r="E337" s="166">
        <f t="shared" si="24"/>
        <v>94.081084096418962</v>
      </c>
      <c r="F337" s="188" t="str">
        <f t="shared" si="25"/>
        <v/>
      </c>
      <c r="H337" t="str">
        <f t="shared" si="27"/>
        <v/>
      </c>
      <c r="I337" s="188" t="str">
        <f t="shared" si="26"/>
        <v/>
      </c>
    </row>
    <row r="338" spans="1:9">
      <c r="A338">
        <v>335</v>
      </c>
      <c r="B338" s="46">
        <v>45779</v>
      </c>
      <c r="C338" s="166">
        <v>142.88925054489511</v>
      </c>
      <c r="D338" s="166">
        <v>94.081084096418962</v>
      </c>
      <c r="E338" s="166">
        <f t="shared" si="24"/>
        <v>94.081084096418962</v>
      </c>
      <c r="F338" s="188" t="str">
        <f t="shared" si="25"/>
        <v/>
      </c>
      <c r="H338" t="str">
        <f t="shared" si="27"/>
        <v/>
      </c>
      <c r="I338" s="188" t="str">
        <f t="shared" si="26"/>
        <v/>
      </c>
    </row>
    <row r="339" spans="1:9">
      <c r="A339">
        <v>336</v>
      </c>
      <c r="B339" s="46">
        <v>45780</v>
      </c>
      <c r="C339" s="166">
        <v>143.15347762089323</v>
      </c>
      <c r="D339" s="166">
        <v>94.081084096418962</v>
      </c>
      <c r="E339" s="166">
        <f t="shared" si="24"/>
        <v>94.081084096418962</v>
      </c>
      <c r="F339" s="188" t="str">
        <f t="shared" si="25"/>
        <v/>
      </c>
      <c r="H339" t="str">
        <f t="shared" si="27"/>
        <v/>
      </c>
      <c r="I339" s="188" t="str">
        <f t="shared" si="26"/>
        <v/>
      </c>
    </row>
    <row r="340" spans="1:9">
      <c r="A340">
        <v>337</v>
      </c>
      <c r="B340" s="46">
        <v>45781</v>
      </c>
      <c r="C340" s="166">
        <v>135.60109949689323</v>
      </c>
      <c r="D340" s="166">
        <v>94.081084096418962</v>
      </c>
      <c r="E340" s="166">
        <f t="shared" si="24"/>
        <v>94.081084096418962</v>
      </c>
      <c r="F340" s="188" t="str">
        <f t="shared" si="25"/>
        <v/>
      </c>
      <c r="H340" t="str">
        <f t="shared" si="27"/>
        <v/>
      </c>
      <c r="I340" s="188" t="str">
        <f t="shared" si="26"/>
        <v/>
      </c>
    </row>
    <row r="341" spans="1:9">
      <c r="A341">
        <v>338</v>
      </c>
      <c r="B341" s="46">
        <v>45782</v>
      </c>
      <c r="C341" s="166">
        <v>149.30862135689694</v>
      </c>
      <c r="D341" s="166">
        <v>94.081084096418962</v>
      </c>
      <c r="E341" s="166">
        <f t="shared" si="24"/>
        <v>94.081084096418962</v>
      </c>
      <c r="F341" s="188" t="str">
        <f t="shared" si="25"/>
        <v/>
      </c>
      <c r="H341" t="str">
        <f t="shared" si="27"/>
        <v/>
      </c>
      <c r="I341" s="188" t="str">
        <f t="shared" si="26"/>
        <v/>
      </c>
    </row>
    <row r="342" spans="1:9">
      <c r="A342">
        <v>339</v>
      </c>
      <c r="B342" s="46">
        <v>45783</v>
      </c>
      <c r="C342" s="166">
        <v>157.61868216089508</v>
      </c>
      <c r="D342" s="166">
        <v>94.081084096418962</v>
      </c>
      <c r="E342" s="166">
        <f t="shared" si="24"/>
        <v>94.081084096418962</v>
      </c>
      <c r="F342" s="188" t="str">
        <f t="shared" si="25"/>
        <v/>
      </c>
      <c r="H342" t="str">
        <f t="shared" si="27"/>
        <v/>
      </c>
      <c r="I342" s="188" t="str">
        <f t="shared" si="26"/>
        <v/>
      </c>
    </row>
    <row r="343" spans="1:9">
      <c r="A343">
        <v>340</v>
      </c>
      <c r="B343" s="46">
        <v>45784</v>
      </c>
      <c r="C343" s="166">
        <v>154.78379642813192</v>
      </c>
      <c r="D343" s="166">
        <v>94.081084096418962</v>
      </c>
      <c r="E343" s="166">
        <f t="shared" si="24"/>
        <v>94.081084096418962</v>
      </c>
      <c r="F343" s="188" t="str">
        <f t="shared" si="25"/>
        <v/>
      </c>
      <c r="H343" t="str">
        <f t="shared" si="27"/>
        <v/>
      </c>
      <c r="I343" s="188" t="str">
        <f t="shared" si="26"/>
        <v/>
      </c>
    </row>
    <row r="344" spans="1:9">
      <c r="A344">
        <v>341</v>
      </c>
      <c r="B344" s="46">
        <v>45785</v>
      </c>
      <c r="C344" s="166">
        <v>172.89479393213193</v>
      </c>
      <c r="D344" s="166">
        <v>94.081084096418962</v>
      </c>
      <c r="E344" s="166">
        <f t="shared" si="24"/>
        <v>94.081084096418962</v>
      </c>
      <c r="F344" s="188" t="str">
        <f t="shared" si="25"/>
        <v/>
      </c>
      <c r="H344" t="str">
        <f t="shared" si="27"/>
        <v/>
      </c>
      <c r="I344" s="188" t="str">
        <f t="shared" si="26"/>
        <v/>
      </c>
    </row>
    <row r="345" spans="1:9">
      <c r="A345">
        <v>342</v>
      </c>
      <c r="B345" s="46">
        <v>45786</v>
      </c>
      <c r="C345" s="166">
        <v>172.15956175713379</v>
      </c>
      <c r="D345" s="166">
        <v>94.081084096418962</v>
      </c>
      <c r="E345" s="166">
        <f t="shared" si="24"/>
        <v>94.081084096418962</v>
      </c>
      <c r="F345" s="188" t="str">
        <f t="shared" si="25"/>
        <v/>
      </c>
      <c r="H345" t="str">
        <f t="shared" si="27"/>
        <v/>
      </c>
      <c r="I345" s="188" t="str">
        <f t="shared" si="26"/>
        <v/>
      </c>
    </row>
    <row r="346" spans="1:9">
      <c r="A346">
        <v>343</v>
      </c>
      <c r="B346" s="46">
        <v>45787</v>
      </c>
      <c r="C346" s="166">
        <v>137.88510202413005</v>
      </c>
      <c r="D346" s="166">
        <v>94.081084096418962</v>
      </c>
      <c r="E346" s="166">
        <f t="shared" si="24"/>
        <v>94.081084096418962</v>
      </c>
      <c r="F346" s="188" t="str">
        <f t="shared" si="25"/>
        <v/>
      </c>
      <c r="H346" t="str">
        <f t="shared" si="27"/>
        <v/>
      </c>
      <c r="I346" s="188" t="str">
        <f t="shared" si="26"/>
        <v/>
      </c>
    </row>
    <row r="347" spans="1:9">
      <c r="A347">
        <v>344</v>
      </c>
      <c r="B347" s="46">
        <v>45788</v>
      </c>
      <c r="C347" s="166">
        <v>125.86709891913192</v>
      </c>
      <c r="D347" s="166">
        <v>94.081084096418962</v>
      </c>
      <c r="E347" s="166">
        <f t="shared" si="24"/>
        <v>94.081084096418962</v>
      </c>
      <c r="F347" s="188" t="str">
        <f t="shared" si="25"/>
        <v/>
      </c>
      <c r="H347" t="str">
        <f t="shared" si="27"/>
        <v/>
      </c>
      <c r="I347" s="188" t="str">
        <f t="shared" si="26"/>
        <v/>
      </c>
    </row>
    <row r="348" spans="1:9">
      <c r="A348">
        <v>345</v>
      </c>
      <c r="B348" s="46">
        <v>45789</v>
      </c>
      <c r="C348" s="166">
        <v>153.68796154513379</v>
      </c>
      <c r="D348" s="166">
        <v>94.081084096418962</v>
      </c>
      <c r="E348" s="166">
        <f t="shared" si="24"/>
        <v>94.081084096418962</v>
      </c>
      <c r="F348" s="188" t="str">
        <f t="shared" si="25"/>
        <v/>
      </c>
      <c r="H348" t="str">
        <f t="shared" si="27"/>
        <v/>
      </c>
      <c r="I348" s="188" t="str">
        <f t="shared" si="26"/>
        <v/>
      </c>
    </row>
    <row r="349" spans="1:9">
      <c r="A349">
        <v>346</v>
      </c>
      <c r="B349" s="46">
        <v>45790</v>
      </c>
      <c r="C349" s="166">
        <v>153.25641872713376</v>
      </c>
      <c r="D349" s="166">
        <v>94.081084096418962</v>
      </c>
      <c r="E349" s="166">
        <f t="shared" si="24"/>
        <v>94.081084096418962</v>
      </c>
      <c r="F349" s="188" t="str">
        <f t="shared" si="25"/>
        <v/>
      </c>
      <c r="H349" t="str">
        <f t="shared" si="27"/>
        <v/>
      </c>
      <c r="I349" s="188" t="str">
        <f t="shared" si="26"/>
        <v/>
      </c>
    </row>
    <row r="350" spans="1:9">
      <c r="A350">
        <v>347</v>
      </c>
      <c r="B350" s="46">
        <v>45791</v>
      </c>
      <c r="C350" s="166">
        <v>161.97337265030592</v>
      </c>
      <c r="D350" s="166">
        <v>94.081084096418962</v>
      </c>
      <c r="E350" s="166">
        <f t="shared" si="24"/>
        <v>94.081084096418962</v>
      </c>
      <c r="F350" s="188" t="str">
        <f t="shared" si="25"/>
        <v/>
      </c>
      <c r="H350" t="str">
        <f t="shared" si="27"/>
        <v/>
      </c>
      <c r="I350" s="188" t="str">
        <f t="shared" si="26"/>
        <v/>
      </c>
    </row>
    <row r="351" spans="1:9">
      <c r="A351">
        <v>348</v>
      </c>
      <c r="B351" s="46">
        <v>45792</v>
      </c>
      <c r="C351" s="166">
        <v>154.15687016230777</v>
      </c>
      <c r="D351" s="166">
        <v>94.081084096418962</v>
      </c>
      <c r="E351" s="166">
        <f t="shared" si="24"/>
        <v>94.081084096418962</v>
      </c>
      <c r="F351" s="188" t="str">
        <f t="shared" si="25"/>
        <v>M</v>
      </c>
      <c r="H351" t="str">
        <f t="shared" si="27"/>
        <v/>
      </c>
      <c r="I351" s="188" t="str">
        <f t="shared" si="26"/>
        <v>M</v>
      </c>
    </row>
    <row r="352" spans="1:9">
      <c r="A352">
        <v>349</v>
      </c>
      <c r="B352" s="46">
        <v>45793</v>
      </c>
      <c r="C352" s="166">
        <v>146.52962114230962</v>
      </c>
      <c r="D352" s="166">
        <v>94.081084096418962</v>
      </c>
      <c r="E352" s="166">
        <f t="shared" si="24"/>
        <v>94.081084096418962</v>
      </c>
      <c r="F352" s="188" t="str">
        <f t="shared" si="25"/>
        <v/>
      </c>
      <c r="G352" s="189" t="str">
        <f>IF(DAY(B352)=15,D352,"")</f>
        <v/>
      </c>
      <c r="H352" t="str">
        <f t="shared" si="27"/>
        <v/>
      </c>
      <c r="I352" s="188" t="str">
        <f t="shared" si="26"/>
        <v/>
      </c>
    </row>
    <row r="353" spans="1:9">
      <c r="A353">
        <v>350</v>
      </c>
      <c r="B353" s="46">
        <v>45794</v>
      </c>
      <c r="C353" s="166">
        <v>148.86468384230778</v>
      </c>
      <c r="D353" s="166">
        <v>94.081084096418962</v>
      </c>
      <c r="E353" s="166">
        <f t="shared" si="24"/>
        <v>94.081084096418962</v>
      </c>
      <c r="F353" s="188" t="str">
        <f t="shared" si="25"/>
        <v/>
      </c>
      <c r="H353" t="str">
        <f t="shared" si="27"/>
        <v/>
      </c>
      <c r="I353" s="188" t="str">
        <f t="shared" si="26"/>
        <v/>
      </c>
    </row>
    <row r="354" spans="1:9">
      <c r="A354">
        <v>351</v>
      </c>
      <c r="B354" s="46">
        <v>45795</v>
      </c>
      <c r="C354" s="166">
        <v>134.23938535830595</v>
      </c>
      <c r="D354" s="166">
        <v>94.081084096418962</v>
      </c>
      <c r="E354" s="166">
        <f t="shared" si="24"/>
        <v>94.081084096418962</v>
      </c>
      <c r="F354" s="188" t="str">
        <f t="shared" si="25"/>
        <v/>
      </c>
      <c r="H354" t="str">
        <f t="shared" si="27"/>
        <v/>
      </c>
      <c r="I354" s="188" t="str">
        <f t="shared" si="26"/>
        <v/>
      </c>
    </row>
    <row r="355" spans="1:9">
      <c r="A355">
        <v>352</v>
      </c>
      <c r="B355" s="46">
        <v>45796</v>
      </c>
      <c r="C355" s="166">
        <v>141.02483698630778</v>
      </c>
      <c r="D355" s="166">
        <v>94.081084096418962</v>
      </c>
      <c r="E355" s="166">
        <f t="shared" si="24"/>
        <v>94.081084096418962</v>
      </c>
      <c r="F355" s="188" t="str">
        <f t="shared" si="25"/>
        <v/>
      </c>
      <c r="H355" t="str">
        <f t="shared" si="27"/>
        <v/>
      </c>
      <c r="I355" s="188" t="str">
        <f t="shared" si="26"/>
        <v/>
      </c>
    </row>
    <row r="356" spans="1:9">
      <c r="A356">
        <v>353</v>
      </c>
      <c r="B356" s="46">
        <v>45797</v>
      </c>
      <c r="C356" s="166">
        <v>136.91390033430963</v>
      </c>
      <c r="D356" s="166">
        <v>94.081084096418962</v>
      </c>
      <c r="E356" s="166">
        <f t="shared" si="24"/>
        <v>94.081084096418962</v>
      </c>
      <c r="F356" s="188" t="str">
        <f t="shared" si="25"/>
        <v/>
      </c>
      <c r="H356" t="str">
        <f t="shared" si="27"/>
        <v/>
      </c>
      <c r="I356" s="188" t="str">
        <f t="shared" si="26"/>
        <v/>
      </c>
    </row>
    <row r="357" spans="1:9">
      <c r="A357">
        <v>354</v>
      </c>
      <c r="B357" s="46">
        <v>45798</v>
      </c>
      <c r="C357" s="166">
        <v>138.83898796202365</v>
      </c>
      <c r="D357" s="166">
        <v>94.081084096418962</v>
      </c>
      <c r="E357" s="166">
        <f t="shared" si="24"/>
        <v>94.081084096418962</v>
      </c>
      <c r="F357" s="188" t="str">
        <f t="shared" si="25"/>
        <v/>
      </c>
      <c r="H357" t="str">
        <f t="shared" si="27"/>
        <v/>
      </c>
      <c r="I357" s="188" t="str">
        <f t="shared" si="26"/>
        <v/>
      </c>
    </row>
    <row r="358" spans="1:9">
      <c r="A358">
        <v>355</v>
      </c>
      <c r="B358" s="46">
        <v>45799</v>
      </c>
      <c r="C358" s="166">
        <v>125.25768110602178</v>
      </c>
      <c r="D358" s="166">
        <v>94.081084096418962</v>
      </c>
      <c r="E358" s="166">
        <f t="shared" si="24"/>
        <v>94.081084096418962</v>
      </c>
      <c r="F358" s="188" t="str">
        <f t="shared" si="25"/>
        <v/>
      </c>
      <c r="H358" t="str">
        <f t="shared" si="27"/>
        <v/>
      </c>
      <c r="I358" s="188" t="str">
        <f t="shared" si="26"/>
        <v/>
      </c>
    </row>
    <row r="359" spans="1:9">
      <c r="A359">
        <v>356</v>
      </c>
      <c r="B359" s="46">
        <v>45800</v>
      </c>
      <c r="C359" s="166">
        <v>115.27432162602364</v>
      </c>
      <c r="D359" s="166">
        <v>94.081084096418962</v>
      </c>
      <c r="E359" s="166">
        <f t="shared" si="24"/>
        <v>94.081084096418962</v>
      </c>
      <c r="F359" s="188" t="str">
        <f t="shared" si="25"/>
        <v/>
      </c>
      <c r="H359" t="str">
        <f t="shared" si="27"/>
        <v/>
      </c>
      <c r="I359" s="188" t="str">
        <f t="shared" si="26"/>
        <v/>
      </c>
    </row>
    <row r="360" spans="1:9">
      <c r="A360">
        <v>357</v>
      </c>
      <c r="B360" s="46">
        <v>45801</v>
      </c>
      <c r="C360" s="166">
        <v>102.51996697402549</v>
      </c>
      <c r="D360" s="166">
        <v>94.081084096418962</v>
      </c>
      <c r="E360" s="166">
        <f t="shared" si="24"/>
        <v>94.081084096418962</v>
      </c>
      <c r="F360" s="188" t="str">
        <f t="shared" si="25"/>
        <v/>
      </c>
      <c r="H360" t="str">
        <f t="shared" si="27"/>
        <v/>
      </c>
      <c r="I360" s="188" t="str">
        <f t="shared" si="26"/>
        <v/>
      </c>
    </row>
    <row r="361" spans="1:9">
      <c r="A361">
        <v>358</v>
      </c>
      <c r="B361" s="46">
        <v>45802</v>
      </c>
      <c r="C361" s="166">
        <v>89.845397242023637</v>
      </c>
      <c r="D361" s="166">
        <v>94.081084096418962</v>
      </c>
      <c r="E361" s="166">
        <f t="shared" si="24"/>
        <v>89.845397242023637</v>
      </c>
      <c r="F361" s="188" t="str">
        <f t="shared" si="25"/>
        <v/>
      </c>
      <c r="H361" t="str">
        <f t="shared" si="27"/>
        <v/>
      </c>
      <c r="I361" s="188" t="str">
        <f t="shared" si="26"/>
        <v/>
      </c>
    </row>
    <row r="362" spans="1:9">
      <c r="A362">
        <v>359</v>
      </c>
      <c r="B362" s="46">
        <v>45803</v>
      </c>
      <c r="C362" s="166">
        <v>113.67867576602363</v>
      </c>
      <c r="D362" s="166">
        <v>94.081084096418962</v>
      </c>
      <c r="E362" s="166">
        <f t="shared" si="24"/>
        <v>94.081084096418962</v>
      </c>
      <c r="F362" s="188" t="str">
        <f t="shared" si="25"/>
        <v/>
      </c>
      <c r="H362" t="str">
        <f t="shared" si="27"/>
        <v/>
      </c>
      <c r="I362" s="188" t="str">
        <f t="shared" si="26"/>
        <v/>
      </c>
    </row>
    <row r="363" spans="1:9">
      <c r="A363">
        <v>360</v>
      </c>
      <c r="B363" s="46">
        <v>45804</v>
      </c>
      <c r="C363" s="166">
        <v>108.40071203402363</v>
      </c>
      <c r="D363" s="166">
        <v>94.081084096418962</v>
      </c>
      <c r="E363" s="166">
        <f t="shared" si="24"/>
        <v>94.081084096418962</v>
      </c>
      <c r="F363" s="188" t="str">
        <f t="shared" si="25"/>
        <v/>
      </c>
      <c r="H363" t="str">
        <f t="shared" si="27"/>
        <v/>
      </c>
      <c r="I363" s="188" t="str">
        <f t="shared" si="26"/>
        <v/>
      </c>
    </row>
    <row r="364" spans="1:9">
      <c r="A364">
        <v>361</v>
      </c>
      <c r="B364" s="46">
        <v>45805</v>
      </c>
      <c r="C364" s="166">
        <v>85.485480380966536</v>
      </c>
      <c r="D364" s="166">
        <v>94.081084096418962</v>
      </c>
      <c r="E364" s="166">
        <f t="shared" si="24"/>
        <v>85.485480380966536</v>
      </c>
      <c r="F364" s="188" t="str">
        <f t="shared" si="25"/>
        <v/>
      </c>
      <c r="H364" t="str">
        <f t="shared" si="27"/>
        <v/>
      </c>
      <c r="I364" s="188" t="str">
        <f t="shared" si="26"/>
        <v/>
      </c>
    </row>
    <row r="365" spans="1:9">
      <c r="A365">
        <v>362</v>
      </c>
      <c r="B365" s="46">
        <v>45806</v>
      </c>
      <c r="C365" s="166">
        <v>83.162198856966526</v>
      </c>
      <c r="D365" s="166">
        <v>94.081084096418962</v>
      </c>
      <c r="E365" s="166">
        <f t="shared" si="24"/>
        <v>83.162198856966526</v>
      </c>
      <c r="F365" s="188" t="str">
        <f t="shared" si="25"/>
        <v/>
      </c>
      <c r="H365" t="str">
        <f t="shared" si="27"/>
        <v/>
      </c>
      <c r="I365" s="188" t="str">
        <f t="shared" si="26"/>
        <v/>
      </c>
    </row>
    <row r="366" spans="1:9">
      <c r="A366">
        <v>363</v>
      </c>
      <c r="B366" s="46">
        <v>45807</v>
      </c>
      <c r="C366" s="166">
        <v>81.449369692968389</v>
      </c>
      <c r="D366" s="166">
        <v>94.081084096418962</v>
      </c>
      <c r="E366" s="166">
        <f t="shared" si="24"/>
        <v>81.449369692968389</v>
      </c>
      <c r="F366" s="188" t="str">
        <f t="shared" si="25"/>
        <v/>
      </c>
      <c r="H366" t="str">
        <f t="shared" si="27"/>
        <v/>
      </c>
      <c r="I366" s="188" t="str">
        <f t="shared" si="26"/>
        <v/>
      </c>
    </row>
    <row r="367" spans="1:9">
      <c r="A367">
        <v>364</v>
      </c>
      <c r="B367" s="46">
        <v>45808</v>
      </c>
      <c r="C367" s="166">
        <v>67.543307356966523</v>
      </c>
      <c r="D367" s="166">
        <v>94.081084096418962</v>
      </c>
      <c r="E367" s="166">
        <f t="shared" si="24"/>
        <v>67.543307356966523</v>
      </c>
      <c r="F367" s="188" t="str">
        <f t="shared" si="25"/>
        <v/>
      </c>
      <c r="H367" t="str">
        <f t="shared" si="27"/>
        <v/>
      </c>
      <c r="I367" s="188" t="str">
        <f t="shared" si="26"/>
        <v/>
      </c>
    </row>
    <row r="368" spans="1:9">
      <c r="A368">
        <v>365</v>
      </c>
      <c r="B368" s="46">
        <v>45809</v>
      </c>
      <c r="C368" s="166">
        <v>58.584965992964676</v>
      </c>
      <c r="D368" s="166">
        <v>61.406867513274626</v>
      </c>
      <c r="E368" s="166">
        <f t="shared" si="24"/>
        <v>58.584965992964676</v>
      </c>
      <c r="F368" s="188" t="str">
        <f t="shared" si="25"/>
        <v/>
      </c>
      <c r="H368" t="str">
        <f t="shared" si="27"/>
        <v/>
      </c>
      <c r="I368" s="188" t="str">
        <f t="shared" si="26"/>
        <v/>
      </c>
    </row>
    <row r="369" spans="1:9">
      <c r="A369">
        <v>366</v>
      </c>
      <c r="B369" s="46">
        <v>45810</v>
      </c>
      <c r="C369" s="166">
        <v>68.591305628966523</v>
      </c>
      <c r="D369" s="166">
        <v>61.406867513274626</v>
      </c>
      <c r="E369" s="166">
        <f t="shared" si="24"/>
        <v>61.406867513274626</v>
      </c>
      <c r="F369" s="188" t="str">
        <f t="shared" si="25"/>
        <v/>
      </c>
      <c r="H369" t="str">
        <f t="shared" si="27"/>
        <v/>
      </c>
      <c r="I369" s="188" t="str">
        <f t="shared" si="26"/>
        <v/>
      </c>
    </row>
    <row r="370" spans="1:9">
      <c r="A370">
        <v>367</v>
      </c>
      <c r="B370" s="46">
        <v>45811</v>
      </c>
      <c r="C370" s="166">
        <v>77.948868616968397</v>
      </c>
      <c r="D370" s="166">
        <v>61.406867513274626</v>
      </c>
      <c r="E370" s="166">
        <f t="shared" si="24"/>
        <v>61.406867513274626</v>
      </c>
      <c r="F370" s="188" t="str">
        <f t="shared" si="25"/>
        <v/>
      </c>
      <c r="H370" t="str">
        <f t="shared" si="27"/>
        <v/>
      </c>
      <c r="I370" s="188" t="str">
        <f t="shared" si="26"/>
        <v/>
      </c>
    </row>
    <row r="371" spans="1:9">
      <c r="A371">
        <v>368</v>
      </c>
      <c r="B371" s="46">
        <v>45812</v>
      </c>
      <c r="C371" s="166">
        <v>81.663379388919736</v>
      </c>
      <c r="D371" s="166">
        <v>61.406867513274626</v>
      </c>
      <c r="E371" s="166">
        <f t="shared" si="24"/>
        <v>61.406867513274626</v>
      </c>
      <c r="F371" s="188" t="str">
        <f t="shared" si="25"/>
        <v/>
      </c>
      <c r="H371" t="str">
        <f t="shared" si="27"/>
        <v/>
      </c>
      <c r="I371" s="188" t="str">
        <f t="shared" si="26"/>
        <v/>
      </c>
    </row>
    <row r="372" spans="1:9">
      <c r="A372">
        <v>369</v>
      </c>
      <c r="B372" s="46">
        <v>45813</v>
      </c>
      <c r="C372" s="166">
        <v>71.515156384919734</v>
      </c>
      <c r="D372" s="166">
        <v>61.406867513274626</v>
      </c>
      <c r="E372" s="166">
        <f t="shared" si="24"/>
        <v>61.406867513274626</v>
      </c>
      <c r="F372" s="188" t="str">
        <f t="shared" si="25"/>
        <v/>
      </c>
      <c r="H372" t="str">
        <f t="shared" si="27"/>
        <v/>
      </c>
      <c r="I372" s="188" t="str">
        <f t="shared" si="26"/>
        <v/>
      </c>
    </row>
    <row r="373" spans="1:9">
      <c r="A373">
        <v>370</v>
      </c>
      <c r="B373" s="46">
        <v>45814</v>
      </c>
      <c r="C373" s="166">
        <v>77.416969172919735</v>
      </c>
      <c r="D373" s="166">
        <v>61.406867513274626</v>
      </c>
      <c r="E373" s="166">
        <f t="shared" si="24"/>
        <v>61.406867513274626</v>
      </c>
      <c r="F373" s="188" t="str">
        <f t="shared" si="25"/>
        <v/>
      </c>
      <c r="H373" t="str">
        <f t="shared" si="27"/>
        <v/>
      </c>
      <c r="I373" s="188" t="str">
        <f t="shared" si="26"/>
        <v/>
      </c>
    </row>
    <row r="374" spans="1:9">
      <c r="A374">
        <v>371</v>
      </c>
      <c r="B374" s="46">
        <v>45815</v>
      </c>
      <c r="C374" s="166">
        <v>59.671351156917879</v>
      </c>
      <c r="D374" s="166">
        <v>61.406867513274626</v>
      </c>
      <c r="E374" s="166">
        <f t="shared" si="24"/>
        <v>59.671351156917879</v>
      </c>
      <c r="F374" s="188" t="str">
        <f t="shared" si="25"/>
        <v/>
      </c>
      <c r="H374" t="str">
        <f t="shared" si="27"/>
        <v/>
      </c>
      <c r="I374" s="188" t="str">
        <f t="shared" si="26"/>
        <v/>
      </c>
    </row>
    <row r="375" spans="1:9">
      <c r="A375">
        <v>372</v>
      </c>
      <c r="B375" s="46">
        <v>45816</v>
      </c>
      <c r="C375" s="166">
        <v>45.392203304921601</v>
      </c>
      <c r="D375" s="166">
        <v>61.406867513274626</v>
      </c>
      <c r="E375" s="166">
        <f t="shared" si="24"/>
        <v>45.392203304921601</v>
      </c>
      <c r="F375" s="188" t="str">
        <f t="shared" si="25"/>
        <v/>
      </c>
      <c r="H375" t="str">
        <f t="shared" si="27"/>
        <v/>
      </c>
      <c r="I375" s="188" t="str">
        <f t="shared" si="26"/>
        <v/>
      </c>
    </row>
    <row r="376" spans="1:9">
      <c r="A376">
        <v>373</v>
      </c>
      <c r="B376" s="46">
        <v>45817</v>
      </c>
      <c r="C376" s="166">
        <v>71.85252705291974</v>
      </c>
      <c r="D376" s="166">
        <v>61.406867513274626</v>
      </c>
      <c r="E376" s="166">
        <f t="shared" si="24"/>
        <v>61.406867513274626</v>
      </c>
      <c r="F376" s="188" t="str">
        <f t="shared" si="25"/>
        <v/>
      </c>
      <c r="H376" t="str">
        <f t="shared" si="27"/>
        <v/>
      </c>
      <c r="I376" s="188" t="str">
        <f t="shared" si="26"/>
        <v/>
      </c>
    </row>
    <row r="377" spans="1:9">
      <c r="A377">
        <v>374</v>
      </c>
      <c r="B377" s="46">
        <v>45818</v>
      </c>
      <c r="C377" s="166">
        <v>94.934340192919748</v>
      </c>
      <c r="D377" s="166">
        <v>61.406867513274626</v>
      </c>
      <c r="E377" s="166">
        <f t="shared" si="24"/>
        <v>61.406867513274626</v>
      </c>
      <c r="F377" s="188" t="str">
        <f t="shared" si="25"/>
        <v/>
      </c>
      <c r="H377" t="str">
        <f t="shared" si="27"/>
        <v/>
      </c>
      <c r="I377" s="188" t="str">
        <f t="shared" si="26"/>
        <v/>
      </c>
    </row>
    <row r="378" spans="1:9">
      <c r="A378">
        <v>375</v>
      </c>
      <c r="B378" s="46">
        <v>45819</v>
      </c>
      <c r="C378" s="166">
        <v>57.290058085395692</v>
      </c>
      <c r="D378" s="166">
        <v>61.406867513274626</v>
      </c>
      <c r="E378" s="166">
        <f t="shared" si="24"/>
        <v>57.290058085395692</v>
      </c>
      <c r="F378" s="188" t="str">
        <f t="shared" si="25"/>
        <v/>
      </c>
      <c r="H378" t="str">
        <f t="shared" si="27"/>
        <v/>
      </c>
      <c r="I378" s="188" t="str">
        <f t="shared" si="26"/>
        <v/>
      </c>
    </row>
    <row r="379" spans="1:9">
      <c r="A379">
        <v>376</v>
      </c>
      <c r="B379" s="46">
        <v>45820</v>
      </c>
      <c r="C379" s="166">
        <v>55.354960405397549</v>
      </c>
      <c r="D379" s="166">
        <v>61.406867513274626</v>
      </c>
      <c r="E379" s="166">
        <f t="shared" si="24"/>
        <v>55.354960405397549</v>
      </c>
      <c r="F379" s="188" t="str">
        <f t="shared" si="25"/>
        <v/>
      </c>
      <c r="H379" t="str">
        <f t="shared" si="27"/>
        <v/>
      </c>
      <c r="I379" s="188" t="str">
        <f t="shared" si="26"/>
        <v/>
      </c>
    </row>
    <row r="380" spans="1:9">
      <c r="A380">
        <v>377</v>
      </c>
      <c r="B380" s="46">
        <v>45821</v>
      </c>
      <c r="C380" s="166">
        <v>57.648457809397556</v>
      </c>
      <c r="D380" s="166">
        <v>61.406867513274626</v>
      </c>
      <c r="E380" s="166">
        <f t="shared" si="24"/>
        <v>57.648457809397556</v>
      </c>
      <c r="F380" s="188" t="str">
        <f t="shared" si="25"/>
        <v/>
      </c>
      <c r="H380" t="str">
        <f t="shared" si="27"/>
        <v/>
      </c>
      <c r="I380" s="188" t="str">
        <f t="shared" si="26"/>
        <v/>
      </c>
    </row>
    <row r="381" spans="1:9">
      <c r="A381">
        <v>378</v>
      </c>
      <c r="B381" s="46">
        <v>45822</v>
      </c>
      <c r="C381" s="166">
        <v>35.976587393397551</v>
      </c>
      <c r="D381" s="166">
        <v>61.406867513274626</v>
      </c>
      <c r="E381" s="166">
        <f t="shared" si="24"/>
        <v>35.976587393397551</v>
      </c>
      <c r="F381" s="188" t="str">
        <f t="shared" si="25"/>
        <v/>
      </c>
      <c r="H381" t="str">
        <f t="shared" si="27"/>
        <v/>
      </c>
      <c r="I381" s="188" t="str">
        <f t="shared" si="26"/>
        <v/>
      </c>
    </row>
    <row r="382" spans="1:9">
      <c r="A382">
        <v>379</v>
      </c>
      <c r="B382" s="46">
        <v>45823</v>
      </c>
      <c r="C382" s="166">
        <v>27.093917057395686</v>
      </c>
      <c r="D382" s="166">
        <v>61.406867513274626</v>
      </c>
      <c r="E382" s="166">
        <f t="shared" si="24"/>
        <v>27.093917057395686</v>
      </c>
      <c r="F382" s="188" t="str">
        <f t="shared" si="25"/>
        <v>J</v>
      </c>
      <c r="H382" t="str">
        <f t="shared" si="27"/>
        <v/>
      </c>
      <c r="I382" s="188" t="str">
        <f t="shared" si="26"/>
        <v>J</v>
      </c>
    </row>
    <row r="383" spans="1:9">
      <c r="A383">
        <v>380</v>
      </c>
      <c r="B383" s="46">
        <v>45824</v>
      </c>
      <c r="C383" s="166">
        <v>41.648771953399418</v>
      </c>
      <c r="D383" s="166">
        <v>61.406867513274626</v>
      </c>
      <c r="E383" s="166">
        <f t="shared" si="24"/>
        <v>41.648771953399418</v>
      </c>
      <c r="F383" s="188" t="str">
        <f t="shared" si="25"/>
        <v/>
      </c>
      <c r="G383" s="189" t="str">
        <f>IF(DAY(B383)=15,D383,"")</f>
        <v/>
      </c>
      <c r="H383" t="str">
        <f t="shared" si="27"/>
        <v/>
      </c>
      <c r="I383" s="188" t="str">
        <f t="shared" si="26"/>
        <v/>
      </c>
    </row>
    <row r="384" spans="1:9">
      <c r="A384">
        <v>381</v>
      </c>
      <c r="B384" s="46">
        <v>45825</v>
      </c>
      <c r="C384" s="166">
        <v>66.75141773339756</v>
      </c>
      <c r="D384" s="166">
        <v>61.406867513274626</v>
      </c>
      <c r="E384" s="166">
        <f t="shared" si="24"/>
        <v>61.406867513274626</v>
      </c>
      <c r="F384" s="188" t="str">
        <f t="shared" si="25"/>
        <v/>
      </c>
      <c r="H384" t="str">
        <f t="shared" si="27"/>
        <v/>
      </c>
      <c r="I384" s="188" t="str">
        <f t="shared" si="26"/>
        <v/>
      </c>
    </row>
    <row r="385" spans="1:9">
      <c r="A385">
        <v>382</v>
      </c>
      <c r="B385" s="46">
        <v>45826</v>
      </c>
      <c r="C385" s="166">
        <v>54.810603226402399</v>
      </c>
      <c r="D385" s="166">
        <v>61.406867513274626</v>
      </c>
      <c r="E385" s="166">
        <f t="shared" si="24"/>
        <v>54.810603226402399</v>
      </c>
      <c r="F385" s="188" t="str">
        <f t="shared" si="25"/>
        <v/>
      </c>
      <c r="H385" t="str">
        <f t="shared" si="27"/>
        <v/>
      </c>
      <c r="I385" s="188" t="str">
        <f t="shared" si="26"/>
        <v/>
      </c>
    </row>
    <row r="386" spans="1:9">
      <c r="A386">
        <v>383</v>
      </c>
      <c r="B386" s="46">
        <v>45827</v>
      </c>
      <c r="C386" s="166">
        <v>56.724506154402391</v>
      </c>
      <c r="D386" s="166">
        <v>61.406867513274626</v>
      </c>
      <c r="E386" s="166">
        <f t="shared" si="24"/>
        <v>56.724506154402391</v>
      </c>
      <c r="F386" s="188" t="str">
        <f t="shared" si="25"/>
        <v/>
      </c>
      <c r="H386" t="str">
        <f t="shared" si="27"/>
        <v/>
      </c>
      <c r="I386" s="188" t="str">
        <f t="shared" si="26"/>
        <v/>
      </c>
    </row>
    <row r="387" spans="1:9">
      <c r="A387">
        <v>384</v>
      </c>
      <c r="B387" s="46">
        <v>45828</v>
      </c>
      <c r="C387" s="166">
        <v>50.758680274402401</v>
      </c>
      <c r="D387" s="166">
        <v>61.406867513274626</v>
      </c>
      <c r="E387" s="166">
        <f t="shared" si="24"/>
        <v>50.758680274402401</v>
      </c>
      <c r="F387" s="188" t="str">
        <f t="shared" ref="F387:F450" si="28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t="str">
        <f t="shared" si="27"/>
        <v/>
      </c>
      <c r="I387" s="188" t="str">
        <f t="shared" si="26"/>
        <v/>
      </c>
    </row>
    <row r="388" spans="1:9">
      <c r="A388">
        <v>385</v>
      </c>
      <c r="B388" s="46">
        <v>45829</v>
      </c>
      <c r="C388" s="166">
        <v>27.241844526407977</v>
      </c>
      <c r="D388" s="166">
        <v>61.406867513274626</v>
      </c>
      <c r="E388" s="166">
        <f t="shared" ref="E388:E395" si="29">IF(C388&lt;D388,C388,D388)</f>
        <v>27.241844526407977</v>
      </c>
      <c r="F388" s="188" t="str">
        <f t="shared" si="28"/>
        <v/>
      </c>
      <c r="H388" t="str">
        <f t="shared" si="27"/>
        <v/>
      </c>
      <c r="I388" s="188" t="str">
        <f t="shared" ref="I388:I451" si="30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9">
      <c r="A389">
        <v>386</v>
      </c>
      <c r="B389" s="46">
        <v>45830</v>
      </c>
      <c r="C389" s="166">
        <v>15.417510526402395</v>
      </c>
      <c r="D389" s="166">
        <v>61.406867513274626</v>
      </c>
      <c r="E389" s="166">
        <f t="shared" si="29"/>
        <v>15.417510526402395</v>
      </c>
      <c r="F389" s="188" t="str">
        <f t="shared" si="28"/>
        <v/>
      </c>
      <c r="H389" t="str">
        <f t="shared" ref="H389:H452" si="31">IF(MONTH(B389)=1,IF(DAY(B389)=1,YEAR(B389),""),"")</f>
        <v/>
      </c>
      <c r="I389" s="188" t="str">
        <f t="shared" si="30"/>
        <v/>
      </c>
    </row>
    <row r="390" spans="1:9">
      <c r="A390">
        <v>387</v>
      </c>
      <c r="B390" s="46">
        <v>45831</v>
      </c>
      <c r="C390" s="166">
        <v>33.067196998404263</v>
      </c>
      <c r="D390" s="166">
        <v>61.406867513274626</v>
      </c>
      <c r="E390" s="166">
        <f t="shared" si="29"/>
        <v>33.067196998404263</v>
      </c>
      <c r="F390" s="188" t="str">
        <f t="shared" si="28"/>
        <v/>
      </c>
      <c r="H390" t="str">
        <f t="shared" si="31"/>
        <v/>
      </c>
      <c r="I390" s="188" t="str">
        <f t="shared" si="30"/>
        <v/>
      </c>
    </row>
    <row r="391" spans="1:9">
      <c r="A391">
        <v>388</v>
      </c>
      <c r="B391" s="46">
        <v>45832</v>
      </c>
      <c r="C391" s="166">
        <v>31.891179734404258</v>
      </c>
      <c r="D391" s="166">
        <v>61.406867513274626</v>
      </c>
      <c r="E391" s="166">
        <f t="shared" si="29"/>
        <v>31.891179734404258</v>
      </c>
      <c r="F391" s="188" t="str">
        <f t="shared" si="28"/>
        <v/>
      </c>
      <c r="H391" t="str">
        <f t="shared" si="31"/>
        <v/>
      </c>
      <c r="I391" s="188" t="str">
        <f t="shared" si="30"/>
        <v/>
      </c>
    </row>
    <row r="392" spans="1:9">
      <c r="A392">
        <v>389</v>
      </c>
      <c r="B392" s="46">
        <v>45833</v>
      </c>
      <c r="C392" s="166">
        <v>36.028818452584453</v>
      </c>
      <c r="D392" s="166">
        <v>61.406867513274626</v>
      </c>
      <c r="E392" s="166">
        <f t="shared" si="29"/>
        <v>36.028818452584453</v>
      </c>
      <c r="F392" s="188" t="str">
        <f t="shared" si="28"/>
        <v/>
      </c>
      <c r="H392" t="str">
        <f t="shared" si="31"/>
        <v/>
      </c>
      <c r="I392" s="188" t="str">
        <f t="shared" si="30"/>
        <v/>
      </c>
    </row>
    <row r="393" spans="1:9">
      <c r="A393">
        <v>390</v>
      </c>
      <c r="B393" s="46">
        <v>45834</v>
      </c>
      <c r="C393" s="166">
        <v>34.198682324582592</v>
      </c>
      <c r="D393" s="166">
        <v>61.406867513274626</v>
      </c>
      <c r="E393" s="166">
        <f t="shared" si="29"/>
        <v>34.198682324582592</v>
      </c>
      <c r="F393" s="188" t="str">
        <f t="shared" si="28"/>
        <v/>
      </c>
      <c r="H393" t="str">
        <f t="shared" si="31"/>
        <v/>
      </c>
      <c r="I393" s="188" t="str">
        <f t="shared" si="30"/>
        <v/>
      </c>
    </row>
    <row r="394" spans="1:9">
      <c r="A394">
        <v>391</v>
      </c>
      <c r="B394" s="46">
        <v>45835</v>
      </c>
      <c r="C394" s="166">
        <v>46.57227909658446</v>
      </c>
      <c r="D394" s="166">
        <v>61.406867513274626</v>
      </c>
      <c r="E394" s="166">
        <f t="shared" si="29"/>
        <v>46.57227909658446</v>
      </c>
      <c r="F394" s="188" t="str">
        <f t="shared" si="28"/>
        <v/>
      </c>
      <c r="H394" t="str">
        <f t="shared" si="31"/>
        <v/>
      </c>
      <c r="I394" s="188" t="str">
        <f t="shared" si="30"/>
        <v/>
      </c>
    </row>
    <row r="395" spans="1:9">
      <c r="A395">
        <v>392</v>
      </c>
      <c r="B395" s="46">
        <v>45836</v>
      </c>
      <c r="C395" s="166">
        <v>25.679008728584463</v>
      </c>
      <c r="D395" s="166">
        <v>61.406867513274626</v>
      </c>
      <c r="E395" s="166">
        <f t="shared" si="29"/>
        <v>25.679008728584463</v>
      </c>
      <c r="F395" s="188" t="str">
        <f t="shared" si="28"/>
        <v/>
      </c>
      <c r="H395" t="str">
        <f t="shared" si="31"/>
        <v/>
      </c>
      <c r="I395" s="188" t="str">
        <f t="shared" si="30"/>
        <v/>
      </c>
    </row>
    <row r="396" spans="1:9">
      <c r="A396">
        <v>393</v>
      </c>
      <c r="B396" s="46">
        <v>45837</v>
      </c>
      <c r="C396" s="166">
        <v>21.31743945258259</v>
      </c>
      <c r="D396" s="166">
        <v>61.406867513274626</v>
      </c>
      <c r="E396" s="166">
        <f t="shared" ref="E396:E398" si="32">IF(C396&lt;D396,C396,D396)</f>
        <v>21.31743945258259</v>
      </c>
      <c r="F396" s="188" t="str">
        <f t="shared" si="28"/>
        <v/>
      </c>
      <c r="H396" t="str">
        <f t="shared" si="31"/>
        <v/>
      </c>
      <c r="I396" s="188" t="str">
        <f t="shared" si="30"/>
        <v/>
      </c>
    </row>
    <row r="397" spans="1:9">
      <c r="A397">
        <v>394</v>
      </c>
      <c r="B397" s="46">
        <v>45838</v>
      </c>
      <c r="C397" s="166">
        <v>52.807168008584455</v>
      </c>
      <c r="D397" s="166">
        <v>61.406867513274626</v>
      </c>
      <c r="E397" s="166">
        <f t="shared" si="32"/>
        <v>52.807168008584455</v>
      </c>
      <c r="F397" s="188" t="str">
        <f t="shared" si="28"/>
        <v/>
      </c>
      <c r="H397" t="str">
        <f t="shared" si="31"/>
        <v/>
      </c>
      <c r="I397" s="188" t="str">
        <f t="shared" si="30"/>
        <v/>
      </c>
    </row>
    <row r="398" spans="1:9">
      <c r="A398">
        <v>395</v>
      </c>
      <c r="B398" s="46">
        <v>45839</v>
      </c>
      <c r="C398" s="166">
        <v>32.594394492584456</v>
      </c>
      <c r="D398" s="166">
        <v>25.377234765527756</v>
      </c>
      <c r="E398" s="166">
        <f t="shared" si="32"/>
        <v>25.377234765527756</v>
      </c>
      <c r="F398" s="188" t="str">
        <f t="shared" si="28"/>
        <v/>
      </c>
      <c r="H398" t="str">
        <f t="shared" si="31"/>
        <v/>
      </c>
      <c r="I398" s="188" t="str">
        <f t="shared" si="30"/>
        <v/>
      </c>
    </row>
    <row r="399" spans="1:9">
      <c r="A399">
        <v>396</v>
      </c>
      <c r="B399" s="46">
        <v>45840</v>
      </c>
      <c r="C399" s="166">
        <v>33.795347920549148</v>
      </c>
      <c r="D399" s="166">
        <v>25.377234765527756</v>
      </c>
      <c r="E399" s="166">
        <f t="shared" ref="E399:E462" si="33">IF(C399&lt;D399,C399,D399)</f>
        <v>25.377234765527756</v>
      </c>
      <c r="F399" s="188" t="str">
        <f t="shared" si="28"/>
        <v/>
      </c>
      <c r="H399" t="str">
        <f t="shared" si="31"/>
        <v/>
      </c>
      <c r="I399" s="188" t="str">
        <f t="shared" si="30"/>
        <v/>
      </c>
    </row>
    <row r="400" spans="1:9">
      <c r="A400">
        <v>397</v>
      </c>
      <c r="B400" s="46">
        <v>45841</v>
      </c>
      <c r="C400" s="166">
        <v>29.662597448547285</v>
      </c>
      <c r="D400" s="166">
        <v>25.377234765527756</v>
      </c>
      <c r="E400" s="166">
        <f t="shared" si="33"/>
        <v>25.377234765527756</v>
      </c>
      <c r="F400" s="188" t="str">
        <f t="shared" si="28"/>
        <v/>
      </c>
      <c r="H400" t="str">
        <f t="shared" si="31"/>
        <v/>
      </c>
      <c r="I400" s="188" t="str">
        <f t="shared" si="30"/>
        <v/>
      </c>
    </row>
    <row r="401" spans="1:9">
      <c r="A401">
        <v>398</v>
      </c>
      <c r="B401" s="46">
        <v>45842</v>
      </c>
      <c r="C401" s="166">
        <v>27.616604840551009</v>
      </c>
      <c r="D401" s="166">
        <v>25.377234765527756</v>
      </c>
      <c r="E401" s="166">
        <f t="shared" si="33"/>
        <v>25.377234765527756</v>
      </c>
      <c r="F401" s="188" t="str">
        <f t="shared" si="28"/>
        <v/>
      </c>
      <c r="H401" t="str">
        <f t="shared" si="31"/>
        <v/>
      </c>
      <c r="I401" s="188" t="str">
        <f t="shared" si="30"/>
        <v/>
      </c>
    </row>
    <row r="402" spans="1:9">
      <c r="A402">
        <v>399</v>
      </c>
      <c r="B402" s="46">
        <v>45843</v>
      </c>
      <c r="C402" s="166">
        <v>13.132768220543548</v>
      </c>
      <c r="D402" s="166">
        <v>25.377234765527756</v>
      </c>
      <c r="E402" s="166">
        <f t="shared" si="33"/>
        <v>13.132768220543548</v>
      </c>
      <c r="F402" s="188" t="str">
        <f t="shared" si="28"/>
        <v/>
      </c>
      <c r="H402" t="str">
        <f t="shared" si="31"/>
        <v/>
      </c>
      <c r="I402" s="188" t="str">
        <f t="shared" si="30"/>
        <v/>
      </c>
    </row>
    <row r="403" spans="1:9">
      <c r="A403">
        <v>400</v>
      </c>
      <c r="B403" s="46">
        <v>45844</v>
      </c>
      <c r="C403" s="166">
        <v>0.74587613655099994</v>
      </c>
      <c r="D403" s="166">
        <v>25.377234765527756</v>
      </c>
      <c r="E403" s="166">
        <f t="shared" si="33"/>
        <v>0.74587613655099994</v>
      </c>
      <c r="F403" s="188" t="str">
        <f t="shared" si="28"/>
        <v/>
      </c>
      <c r="H403" t="str">
        <f t="shared" si="31"/>
        <v/>
      </c>
      <c r="I403" s="188" t="str">
        <f t="shared" si="30"/>
        <v/>
      </c>
    </row>
    <row r="404" spans="1:9">
      <c r="A404">
        <v>401</v>
      </c>
      <c r="B404" s="46">
        <v>45845</v>
      </c>
      <c r="C404" s="166">
        <v>0.87838982854913772</v>
      </c>
      <c r="D404" s="166">
        <v>25.377234765527756</v>
      </c>
      <c r="E404" s="166">
        <f t="shared" si="33"/>
        <v>0.87838982854913772</v>
      </c>
      <c r="F404" s="188" t="str">
        <f t="shared" si="28"/>
        <v/>
      </c>
      <c r="H404" t="str">
        <f t="shared" si="31"/>
        <v/>
      </c>
      <c r="I404" s="188" t="str">
        <f t="shared" si="30"/>
        <v/>
      </c>
    </row>
    <row r="405" spans="1:9">
      <c r="A405">
        <v>402</v>
      </c>
      <c r="B405" s="46">
        <v>45846</v>
      </c>
      <c r="C405" s="166">
        <v>1.2669650485472739</v>
      </c>
      <c r="D405" s="166">
        <v>25.377234765527756</v>
      </c>
      <c r="E405" s="166">
        <f t="shared" si="33"/>
        <v>1.2669650485472739</v>
      </c>
      <c r="F405" s="188" t="str">
        <f t="shared" si="28"/>
        <v/>
      </c>
      <c r="H405" t="str">
        <f t="shared" si="31"/>
        <v/>
      </c>
      <c r="I405" s="188" t="str">
        <f t="shared" si="30"/>
        <v/>
      </c>
    </row>
    <row r="406" spans="1:9">
      <c r="A406">
        <v>403</v>
      </c>
      <c r="B406" s="46">
        <v>45847</v>
      </c>
      <c r="C406" s="166">
        <v>12.98326255205537</v>
      </c>
      <c r="D406" s="166">
        <v>25.377234765527756</v>
      </c>
      <c r="E406" s="166">
        <f t="shared" si="33"/>
        <v>12.98326255205537</v>
      </c>
      <c r="F406" s="188" t="str">
        <f t="shared" si="28"/>
        <v/>
      </c>
      <c r="H406" t="str">
        <f t="shared" si="31"/>
        <v/>
      </c>
      <c r="I406" s="188" t="str">
        <f t="shared" si="30"/>
        <v/>
      </c>
    </row>
    <row r="407" spans="1:9">
      <c r="A407">
        <v>404</v>
      </c>
      <c r="B407" s="46">
        <v>45848</v>
      </c>
      <c r="C407" s="166">
        <v>33.065893648055365</v>
      </c>
      <c r="D407" s="166">
        <v>25.377234765527756</v>
      </c>
      <c r="E407" s="166">
        <f t="shared" si="33"/>
        <v>25.377234765527756</v>
      </c>
      <c r="F407" s="188" t="str">
        <f t="shared" si="28"/>
        <v/>
      </c>
      <c r="H407" t="str">
        <f t="shared" si="31"/>
        <v/>
      </c>
      <c r="I407" s="188" t="str">
        <f t="shared" si="30"/>
        <v/>
      </c>
    </row>
    <row r="408" spans="1:9">
      <c r="A408">
        <v>405</v>
      </c>
      <c r="B408" s="46">
        <v>45849</v>
      </c>
      <c r="C408" s="166">
        <v>27.461339548053513</v>
      </c>
      <c r="D408" s="166">
        <v>25.377234765527756</v>
      </c>
      <c r="E408" s="166">
        <f t="shared" si="33"/>
        <v>25.377234765527756</v>
      </c>
      <c r="F408" s="188" t="str">
        <f t="shared" si="28"/>
        <v/>
      </c>
      <c r="H408" t="str">
        <f t="shared" si="31"/>
        <v/>
      </c>
      <c r="I408" s="188" t="str">
        <f t="shared" si="30"/>
        <v/>
      </c>
    </row>
    <row r="409" spans="1:9">
      <c r="A409">
        <v>406</v>
      </c>
      <c r="B409" s="46">
        <v>45850</v>
      </c>
      <c r="C409" s="166">
        <v>19.045507852053504</v>
      </c>
      <c r="D409" s="166">
        <v>25.377234765527756</v>
      </c>
      <c r="E409" s="166">
        <f t="shared" si="33"/>
        <v>19.045507852053504</v>
      </c>
      <c r="F409" s="188" t="str">
        <f t="shared" si="28"/>
        <v/>
      </c>
      <c r="H409" t="str">
        <f t="shared" si="31"/>
        <v/>
      </c>
      <c r="I409" s="188" t="str">
        <f t="shared" si="30"/>
        <v/>
      </c>
    </row>
    <row r="410" spans="1:9">
      <c r="A410">
        <v>407</v>
      </c>
      <c r="B410" s="46">
        <v>45851</v>
      </c>
      <c r="C410" s="166">
        <v>5.264734244057232</v>
      </c>
      <c r="D410" s="166">
        <v>25.377234765527756</v>
      </c>
      <c r="E410" s="166">
        <f t="shared" si="33"/>
        <v>5.264734244057232</v>
      </c>
      <c r="F410" s="188" t="str">
        <f t="shared" si="28"/>
        <v/>
      </c>
      <c r="H410" t="str">
        <f t="shared" si="31"/>
        <v/>
      </c>
      <c r="I410" s="188" t="str">
        <f t="shared" si="30"/>
        <v/>
      </c>
    </row>
    <row r="411" spans="1:9">
      <c r="A411">
        <v>408</v>
      </c>
      <c r="B411" s="46">
        <v>45852</v>
      </c>
      <c r="C411" s="166">
        <v>14.93768034805351</v>
      </c>
      <c r="D411" s="166">
        <v>25.377234765527756</v>
      </c>
      <c r="E411" s="166">
        <f t="shared" si="33"/>
        <v>14.93768034805351</v>
      </c>
      <c r="F411" s="188" t="str">
        <f t="shared" si="28"/>
        <v/>
      </c>
      <c r="H411" t="str">
        <f t="shared" si="31"/>
        <v/>
      </c>
      <c r="I411" s="188" t="str">
        <f t="shared" si="30"/>
        <v/>
      </c>
    </row>
    <row r="412" spans="1:9">
      <c r="A412">
        <v>409</v>
      </c>
      <c r="B412" s="46">
        <v>45853</v>
      </c>
      <c r="C412" s="166">
        <v>15.42803286805351</v>
      </c>
      <c r="D412" s="166">
        <v>25.377234765527756</v>
      </c>
      <c r="E412" s="166">
        <f t="shared" si="33"/>
        <v>15.42803286805351</v>
      </c>
      <c r="F412" s="188" t="str">
        <f t="shared" si="28"/>
        <v>J</v>
      </c>
      <c r="H412" t="str">
        <f t="shared" si="31"/>
        <v/>
      </c>
      <c r="I412" s="188" t="str">
        <f t="shared" si="30"/>
        <v>J</v>
      </c>
    </row>
    <row r="413" spans="1:9">
      <c r="A413">
        <v>410</v>
      </c>
      <c r="B413" s="46">
        <v>45854</v>
      </c>
      <c r="C413" s="166">
        <v>21.208092095159067</v>
      </c>
      <c r="D413" s="166">
        <v>25.377234765527756</v>
      </c>
      <c r="E413" s="166">
        <f t="shared" si="33"/>
        <v>21.208092095159067</v>
      </c>
      <c r="F413" s="188" t="str">
        <f t="shared" si="28"/>
        <v/>
      </c>
      <c r="H413" t="str">
        <f t="shared" si="31"/>
        <v/>
      </c>
      <c r="I413" s="188" t="str">
        <f t="shared" si="30"/>
        <v/>
      </c>
    </row>
    <row r="414" spans="1:9">
      <c r="A414">
        <v>411</v>
      </c>
      <c r="B414" s="46">
        <v>45855</v>
      </c>
      <c r="C414" s="166">
        <v>18.507020759159058</v>
      </c>
      <c r="D414" s="166">
        <v>25.377234765527756</v>
      </c>
      <c r="E414" s="166">
        <f t="shared" si="33"/>
        <v>18.507020759159058</v>
      </c>
      <c r="F414" s="188" t="str">
        <f t="shared" si="28"/>
        <v/>
      </c>
      <c r="G414" s="189" t="str">
        <f>IF(DAY(B414)=15,D414,"")</f>
        <v/>
      </c>
      <c r="H414" t="str">
        <f t="shared" si="31"/>
        <v/>
      </c>
      <c r="I414" s="188" t="str">
        <f t="shared" si="30"/>
        <v/>
      </c>
    </row>
    <row r="415" spans="1:9">
      <c r="A415">
        <v>412</v>
      </c>
      <c r="B415" s="46">
        <v>45856</v>
      </c>
      <c r="C415" s="166">
        <v>24.003231111160929</v>
      </c>
      <c r="D415" s="166">
        <v>25.377234765527756</v>
      </c>
      <c r="E415" s="166">
        <f t="shared" si="33"/>
        <v>24.003231111160929</v>
      </c>
      <c r="F415" s="188" t="str">
        <f t="shared" si="28"/>
        <v/>
      </c>
      <c r="H415" t="str">
        <f t="shared" si="31"/>
        <v/>
      </c>
      <c r="I415" s="188" t="str">
        <f t="shared" si="30"/>
        <v/>
      </c>
    </row>
    <row r="416" spans="1:9">
      <c r="A416">
        <v>413</v>
      </c>
      <c r="B416" s="46">
        <v>45857</v>
      </c>
      <c r="C416" s="166">
        <v>1.3460224671609249</v>
      </c>
      <c r="D416" s="166">
        <v>25.377234765527756</v>
      </c>
      <c r="E416" s="166">
        <f t="shared" si="33"/>
        <v>1.3460224671609249</v>
      </c>
      <c r="F416" s="188" t="str">
        <f t="shared" si="28"/>
        <v/>
      </c>
      <c r="H416" t="str">
        <f t="shared" si="31"/>
        <v/>
      </c>
      <c r="I416" s="188" t="str">
        <f t="shared" si="30"/>
        <v/>
      </c>
    </row>
    <row r="417" spans="1:9">
      <c r="A417">
        <v>414</v>
      </c>
      <c r="B417" s="46">
        <v>45858</v>
      </c>
      <c r="C417" s="166">
        <v>1.3005218071572018</v>
      </c>
      <c r="D417" s="166">
        <v>25.377234765527756</v>
      </c>
      <c r="E417" s="166">
        <f t="shared" si="33"/>
        <v>1.3005218071572018</v>
      </c>
      <c r="F417" s="188" t="str">
        <f t="shared" si="28"/>
        <v/>
      </c>
      <c r="H417" t="str">
        <f t="shared" si="31"/>
        <v/>
      </c>
      <c r="I417" s="188" t="str">
        <f t="shared" si="30"/>
        <v/>
      </c>
    </row>
    <row r="418" spans="1:9">
      <c r="A418">
        <v>415</v>
      </c>
      <c r="B418" s="46">
        <v>45859</v>
      </c>
      <c r="C418" s="166">
        <v>8.9830380631609295</v>
      </c>
      <c r="D418" s="166">
        <v>25.377234765527756</v>
      </c>
      <c r="E418" s="166">
        <f t="shared" si="33"/>
        <v>8.9830380631609295</v>
      </c>
      <c r="F418" s="188" t="str">
        <f t="shared" si="28"/>
        <v/>
      </c>
      <c r="H418" t="str">
        <f t="shared" si="31"/>
        <v/>
      </c>
      <c r="I418" s="188" t="str">
        <f t="shared" si="30"/>
        <v/>
      </c>
    </row>
    <row r="419" spans="1:9">
      <c r="A419">
        <v>416</v>
      </c>
      <c r="B419" s="46">
        <v>45860</v>
      </c>
      <c r="C419" s="166">
        <v>21.327931907159066</v>
      </c>
      <c r="D419" s="166">
        <v>25.377234765527756</v>
      </c>
      <c r="E419" s="166">
        <f t="shared" si="33"/>
        <v>21.327931907159066</v>
      </c>
      <c r="F419" s="188" t="str">
        <f t="shared" si="28"/>
        <v/>
      </c>
      <c r="H419" t="str">
        <f t="shared" si="31"/>
        <v/>
      </c>
      <c r="I419" s="188" t="str">
        <f t="shared" si="30"/>
        <v/>
      </c>
    </row>
    <row r="420" spans="1:9">
      <c r="A420">
        <v>417</v>
      </c>
      <c r="B420" s="46">
        <v>45861</v>
      </c>
      <c r="C420" s="166">
        <v>19.698397277743307</v>
      </c>
      <c r="D420" s="166">
        <v>25.377234765527756</v>
      </c>
      <c r="E420" s="166">
        <f t="shared" si="33"/>
        <v>19.698397277743307</v>
      </c>
      <c r="F420" s="188" t="str">
        <f t="shared" si="28"/>
        <v/>
      </c>
      <c r="H420" t="str">
        <f t="shared" si="31"/>
        <v/>
      </c>
      <c r="I420" s="188" t="str">
        <f t="shared" si="30"/>
        <v/>
      </c>
    </row>
    <row r="421" spans="1:9">
      <c r="A421">
        <v>418</v>
      </c>
      <c r="B421" s="46">
        <v>45862</v>
      </c>
      <c r="C421" s="166">
        <v>19.402645057741445</v>
      </c>
      <c r="D421" s="166">
        <v>25.377234765527756</v>
      </c>
      <c r="E421" s="166">
        <f t="shared" si="33"/>
        <v>19.402645057741445</v>
      </c>
      <c r="F421" s="188" t="str">
        <f t="shared" si="28"/>
        <v/>
      </c>
      <c r="H421" t="str">
        <f t="shared" si="31"/>
        <v/>
      </c>
      <c r="I421" s="188" t="str">
        <f t="shared" si="30"/>
        <v/>
      </c>
    </row>
    <row r="422" spans="1:9">
      <c r="A422">
        <v>419</v>
      </c>
      <c r="B422" s="46">
        <v>45863</v>
      </c>
      <c r="C422" s="166">
        <v>1.1036778417451643</v>
      </c>
      <c r="D422" s="166">
        <v>25.377234765527756</v>
      </c>
      <c r="E422" s="166">
        <f t="shared" si="33"/>
        <v>1.1036778417451643</v>
      </c>
      <c r="F422" s="188" t="str">
        <f t="shared" si="28"/>
        <v/>
      </c>
      <c r="H422" t="str">
        <f t="shared" si="31"/>
        <v/>
      </c>
      <c r="I422" s="188" t="str">
        <f t="shared" si="30"/>
        <v/>
      </c>
    </row>
    <row r="423" spans="1:9">
      <c r="A423">
        <v>420</v>
      </c>
      <c r="B423" s="46">
        <v>45864</v>
      </c>
      <c r="C423" s="166">
        <v>0.99300742174330658</v>
      </c>
      <c r="D423" s="166">
        <v>25.377234765527756</v>
      </c>
      <c r="E423" s="166">
        <f t="shared" si="33"/>
        <v>0.99300742174330658</v>
      </c>
      <c r="F423" s="188" t="str">
        <f t="shared" si="28"/>
        <v/>
      </c>
      <c r="H423" t="str">
        <f t="shared" si="31"/>
        <v/>
      </c>
      <c r="I423" s="188" t="str">
        <f t="shared" si="30"/>
        <v/>
      </c>
    </row>
    <row r="424" spans="1:9">
      <c r="A424">
        <v>421</v>
      </c>
      <c r="B424" s="46">
        <v>45865</v>
      </c>
      <c r="C424" s="166">
        <v>0.52868170974330131</v>
      </c>
      <c r="D424" s="166">
        <v>25.377234765527756</v>
      </c>
      <c r="E424" s="166">
        <f t="shared" si="33"/>
        <v>0.52868170974330131</v>
      </c>
      <c r="F424" s="188" t="str">
        <f t="shared" si="28"/>
        <v/>
      </c>
      <c r="H424" t="str">
        <f t="shared" si="31"/>
        <v/>
      </c>
      <c r="I424" s="188" t="str">
        <f t="shared" si="30"/>
        <v/>
      </c>
    </row>
    <row r="425" spans="1:9">
      <c r="A425">
        <v>422</v>
      </c>
      <c r="B425" s="46">
        <v>45866</v>
      </c>
      <c r="C425" s="166">
        <v>0.87120617374702847</v>
      </c>
      <c r="D425" s="166">
        <v>25.377234765527756</v>
      </c>
      <c r="E425" s="166">
        <f t="shared" si="33"/>
        <v>0.87120617374702847</v>
      </c>
      <c r="F425" s="188" t="str">
        <f t="shared" si="28"/>
        <v/>
      </c>
      <c r="H425" t="str">
        <f t="shared" si="31"/>
        <v/>
      </c>
      <c r="I425" s="188" t="str">
        <f t="shared" si="30"/>
        <v/>
      </c>
    </row>
    <row r="426" spans="1:9">
      <c r="A426">
        <v>423</v>
      </c>
      <c r="B426" s="46">
        <v>45867</v>
      </c>
      <c r="C426" s="166">
        <v>1.9895497937414401</v>
      </c>
      <c r="D426" s="166">
        <v>25.377234765527756</v>
      </c>
      <c r="E426" s="166">
        <f t="shared" si="33"/>
        <v>1.9895497937414401</v>
      </c>
      <c r="F426" s="188" t="str">
        <f t="shared" si="28"/>
        <v/>
      </c>
      <c r="H426" t="str">
        <f t="shared" si="31"/>
        <v/>
      </c>
      <c r="I426" s="188" t="str">
        <f t="shared" si="30"/>
        <v/>
      </c>
    </row>
    <row r="427" spans="1:9">
      <c r="A427">
        <v>424</v>
      </c>
      <c r="B427" s="46">
        <v>45868</v>
      </c>
      <c r="C427" s="166">
        <v>13.957132501467727</v>
      </c>
      <c r="D427" s="166">
        <v>25.377234765527756</v>
      </c>
      <c r="E427" s="166">
        <f t="shared" si="33"/>
        <v>13.957132501467727</v>
      </c>
      <c r="F427" s="188" t="str">
        <f t="shared" si="28"/>
        <v/>
      </c>
      <c r="H427" t="str">
        <f t="shared" si="31"/>
        <v/>
      </c>
      <c r="I427" s="188" t="str">
        <f t="shared" si="30"/>
        <v/>
      </c>
    </row>
    <row r="428" spans="1:9">
      <c r="A428">
        <v>425</v>
      </c>
      <c r="B428" s="46">
        <v>45869</v>
      </c>
      <c r="C428" s="166">
        <v>17.234185620462142</v>
      </c>
      <c r="D428" s="166">
        <v>25.377234765527756</v>
      </c>
      <c r="E428" s="166">
        <f t="shared" si="33"/>
        <v>17.234185620462142</v>
      </c>
      <c r="F428" s="188" t="str">
        <f t="shared" si="28"/>
        <v/>
      </c>
      <c r="H428" t="str">
        <f t="shared" si="31"/>
        <v/>
      </c>
      <c r="I428" s="188" t="str">
        <f t="shared" si="30"/>
        <v/>
      </c>
    </row>
    <row r="429" spans="1:9">
      <c r="A429">
        <v>426</v>
      </c>
      <c r="B429" s="46">
        <v>45870</v>
      </c>
      <c r="C429" s="166">
        <v>12.194764484471452</v>
      </c>
      <c r="D429" s="166">
        <v>14.606396891514056</v>
      </c>
      <c r="E429" s="166">
        <f t="shared" si="33"/>
        <v>12.194764484471452</v>
      </c>
      <c r="F429" s="188" t="str">
        <f t="shared" si="28"/>
        <v/>
      </c>
      <c r="H429" t="str">
        <f t="shared" si="31"/>
        <v/>
      </c>
      <c r="I429" s="188" t="str">
        <f t="shared" si="30"/>
        <v/>
      </c>
    </row>
    <row r="430" spans="1:9">
      <c r="A430">
        <v>427</v>
      </c>
      <c r="B430" s="46">
        <v>45871</v>
      </c>
      <c r="C430" s="166">
        <v>1.3938801114658637</v>
      </c>
      <c r="D430" s="166">
        <v>14.606396891514056</v>
      </c>
      <c r="E430" s="166">
        <f t="shared" si="33"/>
        <v>1.3938801114658637</v>
      </c>
      <c r="F430" s="188" t="str">
        <f t="shared" si="28"/>
        <v/>
      </c>
      <c r="H430" t="str">
        <f t="shared" si="31"/>
        <v/>
      </c>
      <c r="I430" s="188" t="str">
        <f t="shared" si="30"/>
        <v/>
      </c>
    </row>
    <row r="431" spans="1:9">
      <c r="A431">
        <v>428</v>
      </c>
      <c r="B431" s="46">
        <v>45872</v>
      </c>
      <c r="C431" s="166">
        <v>1.4602158054640022</v>
      </c>
      <c r="D431" s="166">
        <v>14.606396891514056</v>
      </c>
      <c r="E431" s="166">
        <f t="shared" si="33"/>
        <v>1.4602158054640022</v>
      </c>
      <c r="F431" s="188" t="str">
        <f t="shared" si="28"/>
        <v/>
      </c>
      <c r="H431" t="str">
        <f t="shared" si="31"/>
        <v/>
      </c>
      <c r="I431" s="188" t="str">
        <f t="shared" si="30"/>
        <v/>
      </c>
    </row>
    <row r="432" spans="1:9">
      <c r="A432">
        <v>429</v>
      </c>
      <c r="B432" s="46">
        <v>45873</v>
      </c>
      <c r="C432" s="166">
        <v>26.535674111465866</v>
      </c>
      <c r="D432" s="166">
        <v>14.606396891514056</v>
      </c>
      <c r="E432" s="166">
        <f t="shared" si="33"/>
        <v>14.606396891514056</v>
      </c>
      <c r="F432" s="188" t="str">
        <f t="shared" si="28"/>
        <v/>
      </c>
      <c r="H432" t="str">
        <f t="shared" si="31"/>
        <v/>
      </c>
      <c r="I432" s="188" t="str">
        <f t="shared" si="30"/>
        <v/>
      </c>
    </row>
    <row r="433" spans="1:9">
      <c r="A433">
        <v>430</v>
      </c>
      <c r="B433" s="46">
        <v>45874</v>
      </c>
      <c r="C433" s="166">
        <v>20.91808489246959</v>
      </c>
      <c r="D433" s="166">
        <v>14.606396891514056</v>
      </c>
      <c r="E433" s="166">
        <f t="shared" si="33"/>
        <v>14.606396891514056</v>
      </c>
      <c r="F433" s="188" t="str">
        <f t="shared" si="28"/>
        <v/>
      </c>
      <c r="H433" t="str">
        <f t="shared" si="31"/>
        <v/>
      </c>
      <c r="I433" s="188" t="str">
        <f t="shared" si="30"/>
        <v/>
      </c>
    </row>
    <row r="434" spans="1:9">
      <c r="A434">
        <v>431</v>
      </c>
      <c r="B434" s="46">
        <v>45875</v>
      </c>
      <c r="C434" s="166">
        <v>13.157603789703018</v>
      </c>
      <c r="D434" s="166">
        <v>14.606396891514056</v>
      </c>
      <c r="E434" s="166">
        <f t="shared" si="33"/>
        <v>13.157603789703018</v>
      </c>
      <c r="F434" s="188" t="str">
        <f t="shared" si="28"/>
        <v/>
      </c>
      <c r="H434" t="str">
        <f t="shared" si="31"/>
        <v/>
      </c>
      <c r="I434" s="188" t="str">
        <f t="shared" si="30"/>
        <v/>
      </c>
    </row>
    <row r="435" spans="1:9">
      <c r="A435">
        <v>432</v>
      </c>
      <c r="B435" s="46">
        <v>45876</v>
      </c>
      <c r="C435" s="166">
        <v>8.2091536297085987</v>
      </c>
      <c r="D435" s="166">
        <v>14.606396891514056</v>
      </c>
      <c r="E435" s="166">
        <f t="shared" si="33"/>
        <v>8.2091536297085987</v>
      </c>
      <c r="F435" s="188" t="str">
        <f t="shared" si="28"/>
        <v/>
      </c>
      <c r="H435" t="str">
        <f t="shared" si="31"/>
        <v/>
      </c>
      <c r="I435" s="188" t="str">
        <f t="shared" si="30"/>
        <v/>
      </c>
    </row>
    <row r="436" spans="1:9">
      <c r="A436">
        <v>433</v>
      </c>
      <c r="B436" s="46">
        <v>45877</v>
      </c>
      <c r="C436" s="166">
        <v>14.150909509703022</v>
      </c>
      <c r="D436" s="166">
        <v>14.606396891514056</v>
      </c>
      <c r="E436" s="166">
        <f t="shared" si="33"/>
        <v>14.150909509703022</v>
      </c>
      <c r="F436" s="188" t="str">
        <f t="shared" si="28"/>
        <v/>
      </c>
      <c r="H436" t="str">
        <f t="shared" si="31"/>
        <v/>
      </c>
      <c r="I436" s="188" t="str">
        <f t="shared" si="30"/>
        <v/>
      </c>
    </row>
    <row r="437" spans="1:9">
      <c r="A437">
        <v>434</v>
      </c>
      <c r="B437" s="46">
        <v>45878</v>
      </c>
      <c r="C437" s="166">
        <v>0.62003202171046723</v>
      </c>
      <c r="D437" s="166">
        <v>14.606396891514056</v>
      </c>
      <c r="E437" s="166">
        <f t="shared" si="33"/>
        <v>0.62003202171046723</v>
      </c>
      <c r="F437" s="188" t="str">
        <f t="shared" si="28"/>
        <v/>
      </c>
      <c r="H437" t="str">
        <f t="shared" si="31"/>
        <v/>
      </c>
      <c r="I437" s="188" t="str">
        <f t="shared" si="30"/>
        <v/>
      </c>
    </row>
    <row r="438" spans="1:9">
      <c r="A438">
        <v>435</v>
      </c>
      <c r="B438" s="46">
        <v>45879</v>
      </c>
      <c r="C438" s="166">
        <v>0.58029145370487822</v>
      </c>
      <c r="D438" s="166">
        <v>14.606396891514056</v>
      </c>
      <c r="E438" s="166">
        <f t="shared" si="33"/>
        <v>0.58029145370487822</v>
      </c>
      <c r="F438" s="188" t="str">
        <f t="shared" si="28"/>
        <v/>
      </c>
      <c r="H438" t="str">
        <f t="shared" si="31"/>
        <v/>
      </c>
      <c r="I438" s="188" t="str">
        <f t="shared" si="30"/>
        <v/>
      </c>
    </row>
    <row r="439" spans="1:9">
      <c r="A439">
        <v>436</v>
      </c>
      <c r="B439" s="46">
        <v>45880</v>
      </c>
      <c r="C439" s="166">
        <v>7.944978201703023</v>
      </c>
      <c r="D439" s="166">
        <v>14.606396891514056</v>
      </c>
      <c r="E439" s="166">
        <f t="shared" si="33"/>
        <v>7.944978201703023</v>
      </c>
      <c r="F439" s="188" t="str">
        <f t="shared" si="28"/>
        <v/>
      </c>
      <c r="H439" t="str">
        <f t="shared" si="31"/>
        <v/>
      </c>
      <c r="I439" s="188" t="str">
        <f t="shared" si="30"/>
        <v/>
      </c>
    </row>
    <row r="440" spans="1:9">
      <c r="A440">
        <v>437</v>
      </c>
      <c r="B440" s="46">
        <v>45881</v>
      </c>
      <c r="C440" s="166">
        <v>9.3381222057085971</v>
      </c>
      <c r="D440" s="166">
        <v>14.606396891514056</v>
      </c>
      <c r="E440" s="166">
        <f t="shared" si="33"/>
        <v>9.3381222057085971</v>
      </c>
      <c r="F440" s="188" t="str">
        <f t="shared" si="28"/>
        <v/>
      </c>
      <c r="H440" t="str">
        <f t="shared" si="31"/>
        <v/>
      </c>
      <c r="I440" s="188" t="str">
        <f t="shared" si="30"/>
        <v/>
      </c>
    </row>
    <row r="441" spans="1:9">
      <c r="A441">
        <v>438</v>
      </c>
      <c r="B441" s="46">
        <v>45882</v>
      </c>
      <c r="C441" s="166">
        <v>11.9204894591607</v>
      </c>
      <c r="D441" s="166">
        <v>14.606396891514056</v>
      </c>
      <c r="E441" s="166">
        <f t="shared" si="33"/>
        <v>11.9204894591607</v>
      </c>
      <c r="F441" s="188" t="str">
        <f t="shared" si="28"/>
        <v/>
      </c>
      <c r="H441" t="str">
        <f t="shared" si="31"/>
        <v/>
      </c>
      <c r="I441" s="188" t="str">
        <f t="shared" si="30"/>
        <v/>
      </c>
    </row>
    <row r="442" spans="1:9">
      <c r="A442">
        <v>439</v>
      </c>
      <c r="B442" s="46">
        <v>45883</v>
      </c>
      <c r="C442" s="166">
        <v>4.2943351511588403</v>
      </c>
      <c r="D442" s="166">
        <v>14.606396891514056</v>
      </c>
      <c r="E442" s="166">
        <f t="shared" si="33"/>
        <v>4.2943351511588403</v>
      </c>
      <c r="F442" s="188" t="str">
        <f t="shared" si="28"/>
        <v/>
      </c>
      <c r="G442" s="189" t="str">
        <f>IF(DAY(B442)=15,D442,"")</f>
        <v/>
      </c>
      <c r="H442" t="str">
        <f t="shared" si="31"/>
        <v/>
      </c>
      <c r="I442" s="188" t="str">
        <f t="shared" si="30"/>
        <v/>
      </c>
    </row>
    <row r="443" spans="1:9">
      <c r="A443">
        <v>440</v>
      </c>
      <c r="B443" s="46">
        <v>45884</v>
      </c>
      <c r="C443" s="166">
        <v>1.2630359191607059</v>
      </c>
      <c r="D443" s="166">
        <v>14.606396891514056</v>
      </c>
      <c r="E443" s="166">
        <f t="shared" si="33"/>
        <v>1.2630359191607059</v>
      </c>
      <c r="F443" s="188" t="str">
        <f t="shared" si="28"/>
        <v>A</v>
      </c>
      <c r="H443" t="str">
        <f t="shared" si="31"/>
        <v/>
      </c>
      <c r="I443" s="188" t="str">
        <f t="shared" si="30"/>
        <v>A</v>
      </c>
    </row>
    <row r="444" spans="1:9">
      <c r="A444">
        <v>441</v>
      </c>
      <c r="B444" s="46">
        <v>45885</v>
      </c>
      <c r="C444" s="166">
        <v>0.5145405361607045</v>
      </c>
      <c r="D444" s="166">
        <v>14.606396891514056</v>
      </c>
      <c r="E444" s="166">
        <f t="shared" si="33"/>
        <v>0.5145405361607045</v>
      </c>
      <c r="F444" s="188" t="str">
        <f t="shared" si="28"/>
        <v/>
      </c>
      <c r="H444" t="str">
        <f t="shared" si="31"/>
        <v/>
      </c>
      <c r="I444" s="188" t="str">
        <f t="shared" si="30"/>
        <v/>
      </c>
    </row>
    <row r="445" spans="1:9">
      <c r="A445">
        <v>442</v>
      </c>
      <c r="B445" s="46">
        <v>45886</v>
      </c>
      <c r="C445" s="166">
        <v>1.0636899021625723</v>
      </c>
      <c r="D445" s="166">
        <v>14.606396891514056</v>
      </c>
      <c r="E445" s="166">
        <f t="shared" si="33"/>
        <v>1.0636899021625723</v>
      </c>
      <c r="F445" s="188" t="str">
        <f t="shared" si="28"/>
        <v/>
      </c>
      <c r="H445" t="str">
        <f t="shared" si="31"/>
        <v/>
      </c>
      <c r="I445" s="188" t="str">
        <f t="shared" si="30"/>
        <v/>
      </c>
    </row>
    <row r="446" spans="1:9">
      <c r="A446">
        <v>443</v>
      </c>
      <c r="B446" s="46">
        <v>45887</v>
      </c>
      <c r="C446" s="166">
        <v>2.2906401991607126</v>
      </c>
      <c r="D446" s="166">
        <v>14.606396891514056</v>
      </c>
      <c r="E446" s="166">
        <f t="shared" si="33"/>
        <v>2.2906401991607126</v>
      </c>
      <c r="F446" s="188" t="str">
        <f t="shared" si="28"/>
        <v/>
      </c>
      <c r="H446" t="str">
        <f t="shared" si="31"/>
        <v/>
      </c>
      <c r="I446" s="188" t="str">
        <f t="shared" si="30"/>
        <v/>
      </c>
    </row>
    <row r="447" spans="1:9">
      <c r="A447">
        <v>444</v>
      </c>
      <c r="B447" s="46">
        <v>45888</v>
      </c>
      <c r="C447" s="166">
        <v>0.55340952715698222</v>
      </c>
      <c r="D447" s="166">
        <v>14.606396891514056</v>
      </c>
      <c r="E447" s="166">
        <f t="shared" si="33"/>
        <v>0.55340952715698222</v>
      </c>
      <c r="F447" s="188" t="str">
        <f t="shared" si="28"/>
        <v/>
      </c>
      <c r="H447" t="str">
        <f t="shared" si="31"/>
        <v/>
      </c>
      <c r="I447" s="188" t="str">
        <f t="shared" si="30"/>
        <v/>
      </c>
    </row>
    <row r="448" spans="1:9">
      <c r="A448">
        <v>445</v>
      </c>
      <c r="B448" s="46">
        <v>45889</v>
      </c>
      <c r="C448" s="166">
        <v>8.1066654437322221</v>
      </c>
      <c r="D448" s="166">
        <v>14.606396891514056</v>
      </c>
      <c r="E448" s="166">
        <f t="shared" si="33"/>
        <v>8.1066654437322221</v>
      </c>
      <c r="F448" s="188" t="str">
        <f t="shared" si="28"/>
        <v/>
      </c>
      <c r="H448" t="str">
        <f t="shared" si="31"/>
        <v/>
      </c>
      <c r="I448" s="188" t="str">
        <f t="shared" si="30"/>
        <v/>
      </c>
    </row>
    <row r="449" spans="1:9">
      <c r="A449">
        <v>446</v>
      </c>
      <c r="B449" s="46">
        <v>45890</v>
      </c>
      <c r="C449" s="166">
        <v>8.834458943735946</v>
      </c>
      <c r="D449" s="166">
        <v>14.606396891514056</v>
      </c>
      <c r="E449" s="166">
        <f t="shared" si="33"/>
        <v>8.834458943735946</v>
      </c>
      <c r="F449" s="188" t="str">
        <f t="shared" si="28"/>
        <v/>
      </c>
      <c r="H449" t="str">
        <f t="shared" si="31"/>
        <v/>
      </c>
      <c r="I449" s="188" t="str">
        <f t="shared" si="30"/>
        <v/>
      </c>
    </row>
    <row r="450" spans="1:9">
      <c r="A450">
        <v>447</v>
      </c>
      <c r="B450" s="46">
        <v>45891</v>
      </c>
      <c r="C450" s="166">
        <v>10.591494696732218</v>
      </c>
      <c r="D450" s="166">
        <v>14.606396891514056</v>
      </c>
      <c r="E450" s="166">
        <f t="shared" si="33"/>
        <v>10.591494696732218</v>
      </c>
      <c r="F450" s="188" t="str">
        <f t="shared" si="28"/>
        <v/>
      </c>
      <c r="H450" t="str">
        <f t="shared" si="31"/>
        <v/>
      </c>
      <c r="I450" s="188" t="str">
        <f t="shared" si="30"/>
        <v/>
      </c>
    </row>
    <row r="451" spans="1:9">
      <c r="A451">
        <v>448</v>
      </c>
      <c r="B451" s="46">
        <v>45892</v>
      </c>
      <c r="C451" s="166">
        <v>18.622823034732217</v>
      </c>
      <c r="D451" s="166">
        <v>14.606396891514056</v>
      </c>
      <c r="E451" s="166">
        <f t="shared" si="33"/>
        <v>14.606396891514056</v>
      </c>
      <c r="F451" s="188" t="str">
        <f t="shared" ref="F451:F514" si="34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t="str">
        <f t="shared" si="31"/>
        <v/>
      </c>
      <c r="I451" s="188" t="str">
        <f t="shared" si="30"/>
        <v/>
      </c>
    </row>
    <row r="452" spans="1:9">
      <c r="A452">
        <v>449</v>
      </c>
      <c r="B452" s="46">
        <v>45893</v>
      </c>
      <c r="C452" s="166">
        <v>13.983708154734085</v>
      </c>
      <c r="D452" s="166">
        <v>14.606396891514056</v>
      </c>
      <c r="E452" s="166">
        <f t="shared" si="33"/>
        <v>13.983708154734085</v>
      </c>
      <c r="F452" s="188" t="str">
        <f t="shared" si="34"/>
        <v/>
      </c>
      <c r="H452" t="str">
        <f t="shared" si="31"/>
        <v/>
      </c>
      <c r="I452" s="188" t="str">
        <f t="shared" ref="I452:I515" si="35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</row>
    <row r="453" spans="1:9">
      <c r="A453">
        <v>450</v>
      </c>
      <c r="B453" s="46">
        <v>45894</v>
      </c>
      <c r="C453" s="166">
        <v>9.0344177397322198</v>
      </c>
      <c r="D453" s="166">
        <v>14.606396891514056</v>
      </c>
      <c r="E453" s="166">
        <f t="shared" si="33"/>
        <v>9.0344177397322198</v>
      </c>
      <c r="F453" s="188" t="str">
        <f t="shared" si="34"/>
        <v/>
      </c>
      <c r="H453" t="str">
        <f t="shared" ref="H453:H516" si="36">IF(MONTH(B453)=1,IF(DAY(B453)=1,YEAR(B453),""),"")</f>
        <v/>
      </c>
      <c r="I453" s="188" t="str">
        <f t="shared" si="35"/>
        <v/>
      </c>
    </row>
    <row r="454" spans="1:9">
      <c r="A454">
        <v>451</v>
      </c>
      <c r="B454" s="46">
        <v>45895</v>
      </c>
      <c r="C454" s="166">
        <v>9.2639256127322156</v>
      </c>
      <c r="D454" s="166">
        <v>14.606396891514056</v>
      </c>
      <c r="E454" s="166">
        <f t="shared" si="33"/>
        <v>9.2639256127322156</v>
      </c>
      <c r="F454" s="188" t="str">
        <f t="shared" si="34"/>
        <v/>
      </c>
      <c r="H454" t="str">
        <f t="shared" si="36"/>
        <v/>
      </c>
      <c r="I454" s="188" t="str">
        <f t="shared" si="35"/>
        <v/>
      </c>
    </row>
    <row r="455" spans="1:9">
      <c r="A455">
        <v>452</v>
      </c>
      <c r="B455" s="46">
        <v>45896</v>
      </c>
      <c r="C455" s="166">
        <v>28.058542062076945</v>
      </c>
      <c r="D455" s="166">
        <v>14.606396891514056</v>
      </c>
      <c r="E455" s="166">
        <f t="shared" si="33"/>
        <v>14.606396891514056</v>
      </c>
      <c r="F455" s="188" t="str">
        <f t="shared" si="34"/>
        <v/>
      </c>
      <c r="H455" t="str">
        <f t="shared" si="36"/>
        <v/>
      </c>
      <c r="I455" s="188" t="str">
        <f t="shared" si="35"/>
        <v/>
      </c>
    </row>
    <row r="456" spans="1:9">
      <c r="A456">
        <v>453</v>
      </c>
      <c r="B456" s="46">
        <v>45897</v>
      </c>
      <c r="C456" s="166">
        <v>2.2423037120769442</v>
      </c>
      <c r="D456" s="166">
        <v>14.606396891514056</v>
      </c>
      <c r="E456" s="166">
        <f t="shared" si="33"/>
        <v>2.2423037120769442</v>
      </c>
      <c r="F456" s="188" t="str">
        <f t="shared" si="34"/>
        <v/>
      </c>
      <c r="H456" t="str">
        <f t="shared" si="36"/>
        <v/>
      </c>
      <c r="I456" s="188" t="str">
        <f t="shared" si="35"/>
        <v/>
      </c>
    </row>
    <row r="457" spans="1:9">
      <c r="A457">
        <v>454</v>
      </c>
      <c r="B457" s="46">
        <v>45898</v>
      </c>
      <c r="C457" s="166">
        <v>2.3390195480750844</v>
      </c>
      <c r="D457" s="166">
        <v>14.606396891514056</v>
      </c>
      <c r="E457" s="166">
        <f t="shared" si="33"/>
        <v>2.3390195480750844</v>
      </c>
      <c r="F457" s="188" t="str">
        <f t="shared" si="34"/>
        <v/>
      </c>
      <c r="H457" t="str">
        <f t="shared" si="36"/>
        <v/>
      </c>
      <c r="I457" s="188" t="str">
        <f t="shared" si="35"/>
        <v/>
      </c>
    </row>
    <row r="458" spans="1:9">
      <c r="A458">
        <v>455</v>
      </c>
      <c r="B458" s="46">
        <v>45899</v>
      </c>
      <c r="C458" s="166">
        <v>4.3992242260732164</v>
      </c>
      <c r="D458" s="166">
        <v>14.606396891514056</v>
      </c>
      <c r="E458" s="166">
        <f t="shared" si="33"/>
        <v>4.3992242260732164</v>
      </c>
      <c r="F458" s="188" t="str">
        <f t="shared" si="34"/>
        <v/>
      </c>
      <c r="H458" t="str">
        <f t="shared" si="36"/>
        <v/>
      </c>
      <c r="I458" s="188" t="str">
        <f t="shared" si="35"/>
        <v/>
      </c>
    </row>
    <row r="459" spans="1:9">
      <c r="A459">
        <v>456</v>
      </c>
      <c r="B459" s="46">
        <v>45900</v>
      </c>
      <c r="C459" s="166">
        <v>6.5272750440769451</v>
      </c>
      <c r="D459" s="166">
        <v>14.606396891514056</v>
      </c>
      <c r="E459" s="166">
        <f t="shared" si="33"/>
        <v>6.5272750440769451</v>
      </c>
      <c r="F459" s="188" t="str">
        <f t="shared" si="34"/>
        <v/>
      </c>
      <c r="H459" t="str">
        <f t="shared" si="36"/>
        <v/>
      </c>
      <c r="I459" s="188" t="str">
        <f t="shared" si="35"/>
        <v/>
      </c>
    </row>
    <row r="460" spans="1:9">
      <c r="A460">
        <v>457</v>
      </c>
      <c r="B460" s="46">
        <v>45901</v>
      </c>
      <c r="C460" s="166">
        <v>1.2817477090750835</v>
      </c>
      <c r="D460" s="166">
        <v>20.096931654918169</v>
      </c>
      <c r="E460" s="166">
        <f t="shared" si="33"/>
        <v>1.2817477090750835</v>
      </c>
      <c r="F460" s="188" t="str">
        <f t="shared" si="34"/>
        <v/>
      </c>
      <c r="H460" t="str">
        <f t="shared" si="36"/>
        <v/>
      </c>
      <c r="I460" s="188" t="str">
        <f t="shared" si="35"/>
        <v/>
      </c>
    </row>
    <row r="461" spans="1:9">
      <c r="A461">
        <v>458</v>
      </c>
      <c r="B461" s="46">
        <v>45902</v>
      </c>
      <c r="C461" s="166">
        <v>1.6173166890750799</v>
      </c>
      <c r="D461" s="166">
        <v>20.096931654918169</v>
      </c>
      <c r="E461" s="166">
        <f t="shared" si="33"/>
        <v>1.6173166890750799</v>
      </c>
      <c r="F461" s="188" t="str">
        <f t="shared" si="34"/>
        <v/>
      </c>
      <c r="H461" t="str">
        <f t="shared" si="36"/>
        <v/>
      </c>
      <c r="I461" s="188" t="str">
        <f t="shared" si="35"/>
        <v/>
      </c>
    </row>
    <row r="462" spans="1:9">
      <c r="A462">
        <v>459</v>
      </c>
      <c r="B462" s="46">
        <v>45903</v>
      </c>
      <c r="C462" s="166">
        <v>2.1154391071034699</v>
      </c>
      <c r="D462" s="166">
        <v>20.096931654918169</v>
      </c>
      <c r="E462" s="166">
        <f t="shared" si="33"/>
        <v>2.1154391071034699</v>
      </c>
      <c r="F462" s="188" t="str">
        <f t="shared" si="34"/>
        <v/>
      </c>
      <c r="H462" t="str">
        <f t="shared" si="36"/>
        <v/>
      </c>
      <c r="I462" s="188" t="str">
        <f t="shared" si="35"/>
        <v/>
      </c>
    </row>
    <row r="463" spans="1:9">
      <c r="A463">
        <v>460</v>
      </c>
      <c r="B463" s="46">
        <v>45904</v>
      </c>
      <c r="C463" s="166">
        <v>19.321785347101613</v>
      </c>
      <c r="D463" s="166">
        <v>20.096931654918169</v>
      </c>
      <c r="E463" s="166">
        <f t="shared" ref="E463:E526" si="37">IF(C463&lt;D463,C463,D463)</f>
        <v>19.321785347101613</v>
      </c>
      <c r="F463" s="188" t="str">
        <f t="shared" si="34"/>
        <v/>
      </c>
      <c r="H463" t="str">
        <f t="shared" si="36"/>
        <v/>
      </c>
      <c r="I463" s="188" t="str">
        <f t="shared" si="35"/>
        <v/>
      </c>
    </row>
    <row r="464" spans="1:9">
      <c r="A464">
        <v>461</v>
      </c>
      <c r="B464" s="46">
        <v>45905</v>
      </c>
      <c r="C464" s="166">
        <v>24.546131320103473</v>
      </c>
      <c r="D464" s="166">
        <v>20.096931654918169</v>
      </c>
      <c r="E464" s="166">
        <f t="shared" si="37"/>
        <v>20.096931654918169</v>
      </c>
      <c r="F464" s="188" t="str">
        <f t="shared" si="34"/>
        <v/>
      </c>
      <c r="H464" t="str">
        <f t="shared" si="36"/>
        <v/>
      </c>
      <c r="I464" s="188" t="str">
        <f t="shared" si="35"/>
        <v/>
      </c>
    </row>
    <row r="465" spans="1:9">
      <c r="A465">
        <v>462</v>
      </c>
      <c r="B465" s="46">
        <v>45906</v>
      </c>
      <c r="C465" s="166">
        <v>7.2915253381034706</v>
      </c>
      <c r="D465" s="166">
        <v>20.096931654918169</v>
      </c>
      <c r="E465" s="166">
        <f t="shared" si="37"/>
        <v>7.2915253381034706</v>
      </c>
      <c r="F465" s="188" t="str">
        <f t="shared" si="34"/>
        <v/>
      </c>
      <c r="H465" t="str">
        <f t="shared" si="36"/>
        <v/>
      </c>
      <c r="I465" s="188" t="str">
        <f t="shared" si="35"/>
        <v/>
      </c>
    </row>
    <row r="466" spans="1:9">
      <c r="A466">
        <v>463</v>
      </c>
      <c r="B466" s="46">
        <v>45907</v>
      </c>
      <c r="C466" s="166">
        <v>14.543756771103471</v>
      </c>
      <c r="D466" s="166">
        <v>20.096931654918169</v>
      </c>
      <c r="E466" s="166">
        <f t="shared" si="37"/>
        <v>14.543756771103471</v>
      </c>
      <c r="F466" s="188" t="str">
        <f t="shared" si="34"/>
        <v/>
      </c>
      <c r="H466" t="str">
        <f t="shared" si="36"/>
        <v/>
      </c>
      <c r="I466" s="188" t="str">
        <f t="shared" si="35"/>
        <v/>
      </c>
    </row>
    <row r="467" spans="1:9">
      <c r="A467">
        <v>464</v>
      </c>
      <c r="B467" s="46">
        <v>45908</v>
      </c>
      <c r="C467" s="166">
        <v>35.211344651101605</v>
      </c>
      <c r="D467" s="166">
        <v>20.096931654918169</v>
      </c>
      <c r="E467" s="166">
        <f t="shared" si="37"/>
        <v>20.096931654918169</v>
      </c>
      <c r="F467" s="188" t="str">
        <f t="shared" si="34"/>
        <v/>
      </c>
      <c r="H467" t="str">
        <f t="shared" si="36"/>
        <v/>
      </c>
      <c r="I467" s="188" t="str">
        <f t="shared" si="35"/>
        <v/>
      </c>
    </row>
    <row r="468" spans="1:9">
      <c r="A468">
        <v>465</v>
      </c>
      <c r="B468" s="46">
        <v>45909</v>
      </c>
      <c r="C468" s="166">
        <v>31.689608963101609</v>
      </c>
      <c r="D468" s="166">
        <v>20.096931654918169</v>
      </c>
      <c r="E468" s="166">
        <f t="shared" si="37"/>
        <v>20.096931654918169</v>
      </c>
      <c r="F468" s="188" t="str">
        <f t="shared" si="34"/>
        <v/>
      </c>
      <c r="H468" t="str">
        <f t="shared" si="36"/>
        <v/>
      </c>
      <c r="I468" s="188" t="str">
        <f t="shared" si="35"/>
        <v/>
      </c>
    </row>
    <row r="469" spans="1:9">
      <c r="A469">
        <v>466</v>
      </c>
      <c r="B469" s="46">
        <v>45910</v>
      </c>
      <c r="C469" s="166">
        <v>13.092552855678653</v>
      </c>
      <c r="D469" s="166">
        <v>20.096931654918169</v>
      </c>
      <c r="E469" s="166">
        <f t="shared" si="37"/>
        <v>13.092552855678653</v>
      </c>
      <c r="F469" s="188" t="str">
        <f t="shared" si="34"/>
        <v/>
      </c>
      <c r="H469" t="str">
        <f t="shared" si="36"/>
        <v/>
      </c>
      <c r="I469" s="188" t="str">
        <f t="shared" si="35"/>
        <v/>
      </c>
    </row>
    <row r="470" spans="1:9">
      <c r="A470">
        <v>467</v>
      </c>
      <c r="B470" s="46">
        <v>45911</v>
      </c>
      <c r="C470" s="166">
        <v>15.365002231673069</v>
      </c>
      <c r="D470" s="166">
        <v>20.096931654918169</v>
      </c>
      <c r="E470" s="166">
        <f t="shared" si="37"/>
        <v>15.365002231673069</v>
      </c>
      <c r="F470" s="188" t="str">
        <f t="shared" si="34"/>
        <v/>
      </c>
      <c r="H470" t="str">
        <f t="shared" si="36"/>
        <v/>
      </c>
      <c r="I470" s="188" t="str">
        <f t="shared" si="35"/>
        <v/>
      </c>
    </row>
    <row r="471" spans="1:9">
      <c r="A471">
        <v>468</v>
      </c>
      <c r="B471" s="46">
        <v>45912</v>
      </c>
      <c r="C471" s="166">
        <v>34.737672312676793</v>
      </c>
      <c r="D471" s="166">
        <v>20.096931654918169</v>
      </c>
      <c r="E471" s="166">
        <f t="shared" si="37"/>
        <v>20.096931654918169</v>
      </c>
      <c r="F471" s="188" t="str">
        <f t="shared" si="34"/>
        <v/>
      </c>
      <c r="H471" t="str">
        <f t="shared" si="36"/>
        <v/>
      </c>
      <c r="I471" s="188" t="str">
        <f t="shared" si="35"/>
        <v/>
      </c>
    </row>
    <row r="472" spans="1:9">
      <c r="A472">
        <v>469</v>
      </c>
      <c r="B472" s="46">
        <v>45913</v>
      </c>
      <c r="C472" s="166">
        <v>21.468902958676793</v>
      </c>
      <c r="D472" s="166">
        <v>20.096931654918169</v>
      </c>
      <c r="E472" s="166">
        <f t="shared" si="37"/>
        <v>20.096931654918169</v>
      </c>
      <c r="F472" s="188" t="str">
        <f t="shared" si="34"/>
        <v/>
      </c>
      <c r="H472" t="str">
        <f t="shared" si="36"/>
        <v/>
      </c>
      <c r="I472" s="188" t="str">
        <f t="shared" si="35"/>
        <v/>
      </c>
    </row>
    <row r="473" spans="1:9">
      <c r="A473">
        <v>470</v>
      </c>
      <c r="B473" s="46">
        <v>45914</v>
      </c>
      <c r="C473" s="166">
        <v>13.576204775674931</v>
      </c>
      <c r="D473" s="166">
        <v>20.096931654918169</v>
      </c>
      <c r="E473" s="166">
        <f t="shared" si="37"/>
        <v>13.576204775674931</v>
      </c>
      <c r="F473" s="188" t="str">
        <f t="shared" si="34"/>
        <v/>
      </c>
      <c r="G473" s="189" t="str">
        <f>IF(DAY(B473)=15,D473,"")</f>
        <v/>
      </c>
      <c r="H473" t="str">
        <f t="shared" si="36"/>
        <v/>
      </c>
      <c r="I473" s="188" t="str">
        <f t="shared" si="35"/>
        <v/>
      </c>
    </row>
    <row r="474" spans="1:9">
      <c r="A474">
        <v>471</v>
      </c>
      <c r="B474" s="46">
        <v>45915</v>
      </c>
      <c r="C474" s="166">
        <v>18.451686891676793</v>
      </c>
      <c r="D474" s="166">
        <v>20.096931654918169</v>
      </c>
      <c r="E474" s="166">
        <f t="shared" si="37"/>
        <v>18.451686891676793</v>
      </c>
      <c r="F474" s="188" t="str">
        <f t="shared" si="34"/>
        <v>S</v>
      </c>
      <c r="H474" t="str">
        <f t="shared" si="36"/>
        <v/>
      </c>
      <c r="I474" s="188" t="str">
        <f t="shared" si="35"/>
        <v>S</v>
      </c>
    </row>
    <row r="475" spans="1:9">
      <c r="A475">
        <v>472</v>
      </c>
      <c r="B475" s="46">
        <v>45916</v>
      </c>
      <c r="C475" s="166">
        <v>19.344326808674932</v>
      </c>
      <c r="D475" s="166">
        <v>20.096931654918169</v>
      </c>
      <c r="E475" s="166">
        <f t="shared" si="37"/>
        <v>19.344326808674932</v>
      </c>
      <c r="F475" s="188" t="str">
        <f t="shared" si="34"/>
        <v/>
      </c>
      <c r="H475" t="str">
        <f t="shared" si="36"/>
        <v/>
      </c>
      <c r="I475" s="188" t="str">
        <f t="shared" si="35"/>
        <v/>
      </c>
    </row>
    <row r="476" spans="1:9">
      <c r="A476">
        <v>473</v>
      </c>
      <c r="B476" s="46">
        <v>45917</v>
      </c>
      <c r="C476" s="166">
        <v>14.745610182199655</v>
      </c>
      <c r="D476" s="166">
        <v>20.096931654918169</v>
      </c>
      <c r="E476" s="166">
        <f t="shared" si="37"/>
        <v>14.745610182199655</v>
      </c>
      <c r="F476" s="188" t="str">
        <f t="shared" si="34"/>
        <v/>
      </c>
      <c r="H476" t="str">
        <f t="shared" si="36"/>
        <v/>
      </c>
      <c r="I476" s="188" t="str">
        <f t="shared" si="35"/>
        <v/>
      </c>
    </row>
    <row r="477" spans="1:9">
      <c r="A477">
        <v>474</v>
      </c>
      <c r="B477" s="46">
        <v>45918</v>
      </c>
      <c r="C477" s="166">
        <v>10.083807815199659</v>
      </c>
      <c r="D477" s="166">
        <v>20.096931654918169</v>
      </c>
      <c r="E477" s="166">
        <f t="shared" si="37"/>
        <v>10.083807815199659</v>
      </c>
      <c r="F477" s="188" t="str">
        <f t="shared" si="34"/>
        <v/>
      </c>
      <c r="H477" t="str">
        <f t="shared" si="36"/>
        <v/>
      </c>
      <c r="I477" s="188" t="str">
        <f t="shared" si="35"/>
        <v/>
      </c>
    </row>
    <row r="478" spans="1:9">
      <c r="A478">
        <v>475</v>
      </c>
      <c r="B478" s="46">
        <v>45919</v>
      </c>
      <c r="C478" s="166">
        <v>6.9708534591977953</v>
      </c>
      <c r="D478" s="166">
        <v>20.096931654918169</v>
      </c>
      <c r="E478" s="166">
        <f t="shared" si="37"/>
        <v>6.9708534591977953</v>
      </c>
      <c r="F478" s="188" t="str">
        <f t="shared" si="34"/>
        <v/>
      </c>
      <c r="H478" t="str">
        <f t="shared" si="36"/>
        <v/>
      </c>
      <c r="I478" s="188" t="str">
        <f t="shared" si="35"/>
        <v/>
      </c>
    </row>
    <row r="479" spans="1:9">
      <c r="A479">
        <v>476</v>
      </c>
      <c r="B479" s="46">
        <v>45920</v>
      </c>
      <c r="C479" s="166">
        <v>7.4601010751977954</v>
      </c>
      <c r="D479" s="166">
        <v>20.096931654918169</v>
      </c>
      <c r="E479" s="166">
        <f t="shared" si="37"/>
        <v>7.4601010751977954</v>
      </c>
      <c r="F479" s="188" t="str">
        <f t="shared" si="34"/>
        <v/>
      </c>
      <c r="H479" t="str">
        <f t="shared" si="36"/>
        <v/>
      </c>
      <c r="I479" s="188" t="str">
        <f t="shared" si="35"/>
        <v/>
      </c>
    </row>
    <row r="480" spans="1:9">
      <c r="A480">
        <v>477</v>
      </c>
      <c r="B480" s="46">
        <v>45921</v>
      </c>
      <c r="C480" s="166">
        <v>0.88863244720152212</v>
      </c>
      <c r="D480" s="166">
        <v>20.096931654918169</v>
      </c>
      <c r="E480" s="166">
        <f t="shared" si="37"/>
        <v>0.88863244720152212</v>
      </c>
      <c r="F480" s="188" t="str">
        <f t="shared" si="34"/>
        <v/>
      </c>
      <c r="H480" t="str">
        <f t="shared" si="36"/>
        <v/>
      </c>
      <c r="I480" s="188" t="str">
        <f t="shared" si="35"/>
        <v/>
      </c>
    </row>
    <row r="481" spans="1:9">
      <c r="A481">
        <v>478</v>
      </c>
      <c r="B481" s="46">
        <v>45922</v>
      </c>
      <c r="C481" s="166">
        <v>0.95296703919779979</v>
      </c>
      <c r="D481" s="166">
        <v>20.096931654918169</v>
      </c>
      <c r="E481" s="166">
        <f t="shared" si="37"/>
        <v>0.95296703919779979</v>
      </c>
      <c r="F481" s="188" t="str">
        <f t="shared" si="34"/>
        <v/>
      </c>
      <c r="H481" t="str">
        <f t="shared" si="36"/>
        <v/>
      </c>
      <c r="I481" s="188" t="str">
        <f t="shared" si="35"/>
        <v/>
      </c>
    </row>
    <row r="482" spans="1:9">
      <c r="A482">
        <v>479</v>
      </c>
      <c r="B482" s="46">
        <v>45923</v>
      </c>
      <c r="C482" s="166">
        <v>1.107356255201521</v>
      </c>
      <c r="D482" s="166">
        <v>20.096931654918169</v>
      </c>
      <c r="E482" s="166">
        <f t="shared" si="37"/>
        <v>1.107356255201521</v>
      </c>
      <c r="F482" s="188" t="str">
        <f t="shared" si="34"/>
        <v/>
      </c>
      <c r="H482" t="str">
        <f t="shared" si="36"/>
        <v/>
      </c>
      <c r="I482" s="188" t="str">
        <f t="shared" si="35"/>
        <v/>
      </c>
    </row>
    <row r="483" spans="1:9">
      <c r="A483">
        <v>480</v>
      </c>
      <c r="B483" s="46">
        <v>45924</v>
      </c>
      <c r="C483" s="166">
        <v>12.261610709065398</v>
      </c>
      <c r="D483" s="166">
        <v>20.096931654918169</v>
      </c>
      <c r="E483" s="166">
        <f t="shared" si="37"/>
        <v>12.261610709065398</v>
      </c>
      <c r="F483" s="188" t="str">
        <f t="shared" si="34"/>
        <v/>
      </c>
      <c r="H483" t="str">
        <f t="shared" si="36"/>
        <v/>
      </c>
      <c r="I483" s="188" t="str">
        <f t="shared" si="35"/>
        <v/>
      </c>
    </row>
    <row r="484" spans="1:9">
      <c r="A484">
        <v>481</v>
      </c>
      <c r="B484" s="46">
        <v>45925</v>
      </c>
      <c r="C484" s="166">
        <v>30.101534229065393</v>
      </c>
      <c r="D484" s="166">
        <v>20.096931654918169</v>
      </c>
      <c r="E484" s="166">
        <f t="shared" si="37"/>
        <v>20.096931654918169</v>
      </c>
      <c r="F484" s="188" t="str">
        <f t="shared" si="34"/>
        <v/>
      </c>
      <c r="H484" t="str">
        <f t="shared" si="36"/>
        <v/>
      </c>
      <c r="I484" s="188" t="str">
        <f t="shared" si="35"/>
        <v/>
      </c>
    </row>
    <row r="485" spans="1:9">
      <c r="A485">
        <v>482</v>
      </c>
      <c r="B485" s="46">
        <v>45926</v>
      </c>
      <c r="C485" s="166">
        <v>37.891293065067266</v>
      </c>
      <c r="D485" s="166">
        <v>20.096931654918169</v>
      </c>
      <c r="E485" s="166">
        <f t="shared" si="37"/>
        <v>20.096931654918169</v>
      </c>
      <c r="F485" s="188" t="str">
        <f t="shared" si="34"/>
        <v/>
      </c>
      <c r="H485" t="str">
        <f t="shared" si="36"/>
        <v/>
      </c>
      <c r="I485" s="188" t="str">
        <f t="shared" si="35"/>
        <v/>
      </c>
    </row>
    <row r="486" spans="1:9">
      <c r="A486">
        <v>483</v>
      </c>
      <c r="B486" s="46">
        <v>45927</v>
      </c>
      <c r="C486" s="166">
        <v>26.846282717067261</v>
      </c>
      <c r="D486" s="166">
        <v>20.096931654918169</v>
      </c>
      <c r="E486" s="166">
        <f t="shared" si="37"/>
        <v>20.096931654918169</v>
      </c>
      <c r="F486" s="188" t="str">
        <f t="shared" si="34"/>
        <v/>
      </c>
      <c r="H486" t="str">
        <f t="shared" si="36"/>
        <v/>
      </c>
      <c r="I486" s="188" t="str">
        <f t="shared" si="35"/>
        <v/>
      </c>
    </row>
    <row r="487" spans="1:9">
      <c r="A487">
        <v>484</v>
      </c>
      <c r="B487" s="46">
        <v>45928</v>
      </c>
      <c r="C487" s="166">
        <v>6.0124908290653982</v>
      </c>
      <c r="D487" s="166">
        <v>20.096931654918169</v>
      </c>
      <c r="E487" s="166">
        <f t="shared" si="37"/>
        <v>6.0124908290653982</v>
      </c>
      <c r="F487" s="188" t="str">
        <f t="shared" si="34"/>
        <v/>
      </c>
      <c r="H487" t="str">
        <f t="shared" si="36"/>
        <v/>
      </c>
      <c r="I487" s="188" t="str">
        <f t="shared" si="35"/>
        <v/>
      </c>
    </row>
    <row r="488" spans="1:9">
      <c r="A488">
        <v>485</v>
      </c>
      <c r="B488" s="46">
        <v>45929</v>
      </c>
      <c r="C488" s="166">
        <v>18.017315821067257</v>
      </c>
      <c r="D488" s="166">
        <v>20.096931654918169</v>
      </c>
      <c r="E488" s="166">
        <f t="shared" si="37"/>
        <v>18.017315821067257</v>
      </c>
      <c r="F488" s="188" t="str">
        <f t="shared" si="34"/>
        <v/>
      </c>
      <c r="H488" t="str">
        <f t="shared" si="36"/>
        <v/>
      </c>
      <c r="I488" s="188" t="str">
        <f t="shared" si="35"/>
        <v/>
      </c>
    </row>
    <row r="489" spans="1:9">
      <c r="A489">
        <v>486</v>
      </c>
      <c r="B489" s="46">
        <v>45930</v>
      </c>
      <c r="C489" s="166">
        <v>31.070505041067257</v>
      </c>
      <c r="D489" s="166">
        <v>20.096931654918169</v>
      </c>
      <c r="E489" s="166">
        <f t="shared" si="37"/>
        <v>20.096931654918169</v>
      </c>
      <c r="F489" s="188" t="str">
        <f t="shared" si="34"/>
        <v/>
      </c>
      <c r="H489" t="str">
        <f t="shared" si="36"/>
        <v/>
      </c>
      <c r="I489" s="188" t="str">
        <f t="shared" si="35"/>
        <v/>
      </c>
    </row>
    <row r="490" spans="1:9">
      <c r="A490">
        <v>487</v>
      </c>
      <c r="B490" s="46">
        <v>45931</v>
      </c>
      <c r="C490" s="166">
        <v>27.746204055655411</v>
      </c>
      <c r="D490" s="166">
        <v>43.337721010228627</v>
      </c>
      <c r="E490" s="166">
        <f t="shared" si="37"/>
        <v>27.746204055655411</v>
      </c>
      <c r="F490" s="188" t="str">
        <f t="shared" si="34"/>
        <v/>
      </c>
      <c r="H490" t="str">
        <f t="shared" si="36"/>
        <v/>
      </c>
      <c r="I490" s="188" t="str">
        <f t="shared" si="35"/>
        <v/>
      </c>
    </row>
    <row r="491" spans="1:9">
      <c r="A491">
        <v>488</v>
      </c>
      <c r="B491" s="46">
        <v>45932</v>
      </c>
      <c r="C491" s="166">
        <v>20.303725238655417</v>
      </c>
      <c r="D491" s="166">
        <v>43.337721010228627</v>
      </c>
      <c r="E491" s="166">
        <f t="shared" si="37"/>
        <v>20.303725238655417</v>
      </c>
      <c r="F491" s="188" t="str">
        <f t="shared" si="34"/>
        <v/>
      </c>
      <c r="H491" t="str">
        <f t="shared" si="36"/>
        <v/>
      </c>
      <c r="I491" s="188" t="str">
        <f t="shared" si="35"/>
        <v/>
      </c>
    </row>
    <row r="492" spans="1:9">
      <c r="A492">
        <v>489</v>
      </c>
      <c r="B492" s="46">
        <v>45933</v>
      </c>
      <c r="C492" s="166">
        <v>20.529555674659132</v>
      </c>
      <c r="D492" s="166">
        <v>43.337721010228627</v>
      </c>
      <c r="E492" s="166">
        <f t="shared" si="37"/>
        <v>20.529555674659132</v>
      </c>
      <c r="F492" s="188" t="str">
        <f t="shared" si="34"/>
        <v/>
      </c>
      <c r="H492" t="str">
        <f t="shared" si="36"/>
        <v/>
      </c>
      <c r="I492" s="188" t="str">
        <f t="shared" si="35"/>
        <v/>
      </c>
    </row>
    <row r="493" spans="1:9">
      <c r="A493">
        <v>490</v>
      </c>
      <c r="B493" s="46">
        <v>45934</v>
      </c>
      <c r="C493" s="166">
        <v>14.251119198657275</v>
      </c>
      <c r="D493" s="166">
        <v>43.337721010228627</v>
      </c>
      <c r="E493" s="166">
        <f t="shared" si="37"/>
        <v>14.251119198657275</v>
      </c>
      <c r="F493" s="188" t="str">
        <f t="shared" si="34"/>
        <v/>
      </c>
      <c r="H493" t="str">
        <f t="shared" si="36"/>
        <v/>
      </c>
      <c r="I493" s="188" t="str">
        <f t="shared" si="35"/>
        <v/>
      </c>
    </row>
    <row r="494" spans="1:9">
      <c r="A494">
        <v>491</v>
      </c>
      <c r="B494" s="46">
        <v>45935</v>
      </c>
      <c r="C494" s="166">
        <v>0.9801497546572755</v>
      </c>
      <c r="D494" s="166">
        <v>43.337721010228627</v>
      </c>
      <c r="E494" s="166">
        <f t="shared" si="37"/>
        <v>0.9801497546572755</v>
      </c>
      <c r="F494" s="188" t="str">
        <f t="shared" si="34"/>
        <v/>
      </c>
      <c r="H494" t="str">
        <f t="shared" si="36"/>
        <v/>
      </c>
      <c r="I494" s="188" t="str">
        <f t="shared" si="35"/>
        <v/>
      </c>
    </row>
    <row r="495" spans="1:9">
      <c r="A495">
        <v>492</v>
      </c>
      <c r="B495" s="46">
        <v>45936</v>
      </c>
      <c r="C495" s="166">
        <v>27.898072389659138</v>
      </c>
      <c r="D495" s="166">
        <v>43.337721010228627</v>
      </c>
      <c r="E495" s="166">
        <f t="shared" si="37"/>
        <v>27.898072389659138</v>
      </c>
      <c r="F495" s="188" t="str">
        <f t="shared" si="34"/>
        <v/>
      </c>
      <c r="H495" t="str">
        <f t="shared" si="36"/>
        <v/>
      </c>
      <c r="I495" s="188" t="str">
        <f t="shared" si="35"/>
        <v/>
      </c>
    </row>
    <row r="496" spans="1:9">
      <c r="A496">
        <v>493</v>
      </c>
      <c r="B496" s="46">
        <v>45937</v>
      </c>
      <c r="C496" s="166">
        <v>33.149552794655406</v>
      </c>
      <c r="D496" s="166">
        <v>43.337721010228627</v>
      </c>
      <c r="E496" s="166">
        <f t="shared" si="37"/>
        <v>33.149552794655406</v>
      </c>
      <c r="F496" s="188" t="str">
        <f t="shared" si="34"/>
        <v/>
      </c>
      <c r="H496" t="str">
        <f t="shared" si="36"/>
        <v/>
      </c>
      <c r="I496" s="188" t="str">
        <f t="shared" si="35"/>
        <v/>
      </c>
    </row>
    <row r="497" spans="1:9">
      <c r="A497">
        <v>494</v>
      </c>
      <c r="B497" s="46">
        <v>45938</v>
      </c>
      <c r="C497" s="166">
        <v>35.469150293980334</v>
      </c>
      <c r="D497" s="166">
        <v>43.337721010228627</v>
      </c>
      <c r="E497" s="166">
        <f t="shared" si="37"/>
        <v>35.469150293980334</v>
      </c>
      <c r="F497" s="188" t="str">
        <f t="shared" si="34"/>
        <v/>
      </c>
      <c r="H497" t="str">
        <f t="shared" si="36"/>
        <v/>
      </c>
      <c r="I497" s="188" t="str">
        <f t="shared" si="35"/>
        <v/>
      </c>
    </row>
    <row r="498" spans="1:9">
      <c r="A498">
        <v>495</v>
      </c>
      <c r="B498" s="46">
        <v>45939</v>
      </c>
      <c r="C498" s="166">
        <v>8.9310006469803263</v>
      </c>
      <c r="D498" s="166">
        <v>43.337721010228627</v>
      </c>
      <c r="E498" s="166">
        <f t="shared" si="37"/>
        <v>8.9310006469803263</v>
      </c>
      <c r="F498" s="188" t="str">
        <f t="shared" si="34"/>
        <v/>
      </c>
      <c r="H498" t="str">
        <f t="shared" si="36"/>
        <v/>
      </c>
      <c r="I498" s="188" t="str">
        <f t="shared" si="35"/>
        <v/>
      </c>
    </row>
    <row r="499" spans="1:9">
      <c r="A499">
        <v>496</v>
      </c>
      <c r="B499" s="46">
        <v>45940</v>
      </c>
      <c r="C499" s="166">
        <v>6.7232391649821874</v>
      </c>
      <c r="D499" s="166">
        <v>43.337721010228627</v>
      </c>
      <c r="E499" s="166">
        <f t="shared" si="37"/>
        <v>6.7232391649821874</v>
      </c>
      <c r="F499" s="188" t="str">
        <f t="shared" si="34"/>
        <v/>
      </c>
      <c r="H499" t="str">
        <f t="shared" si="36"/>
        <v/>
      </c>
      <c r="I499" s="188" t="str">
        <f t="shared" si="35"/>
        <v/>
      </c>
    </row>
    <row r="500" spans="1:9">
      <c r="A500">
        <v>497</v>
      </c>
      <c r="B500" s="46">
        <v>45941</v>
      </c>
      <c r="C500" s="166">
        <v>0.8445232579803269</v>
      </c>
      <c r="D500" s="166">
        <v>43.337721010228627</v>
      </c>
      <c r="E500" s="166">
        <f t="shared" si="37"/>
        <v>0.8445232579803269</v>
      </c>
      <c r="F500" s="188" t="str">
        <f t="shared" si="34"/>
        <v/>
      </c>
      <c r="H500" t="str">
        <f t="shared" si="36"/>
        <v/>
      </c>
      <c r="I500" s="188" t="str">
        <f t="shared" si="35"/>
        <v/>
      </c>
    </row>
    <row r="501" spans="1:9">
      <c r="A501">
        <v>498</v>
      </c>
      <c r="B501" s="46">
        <v>45942</v>
      </c>
      <c r="C501" s="166">
        <v>0.94240763797846738</v>
      </c>
      <c r="D501" s="166">
        <v>43.337721010228627</v>
      </c>
      <c r="E501" s="166">
        <f t="shared" si="37"/>
        <v>0.94240763797846738</v>
      </c>
      <c r="F501" s="188" t="str">
        <f t="shared" si="34"/>
        <v/>
      </c>
      <c r="H501" t="str">
        <f t="shared" si="36"/>
        <v/>
      </c>
      <c r="I501" s="188" t="str">
        <f t="shared" si="35"/>
        <v/>
      </c>
    </row>
    <row r="502" spans="1:9">
      <c r="A502">
        <v>499</v>
      </c>
      <c r="B502" s="46">
        <v>45943</v>
      </c>
      <c r="C502" s="166">
        <v>20.542116733982184</v>
      </c>
      <c r="D502" s="166">
        <v>43.337721010228627</v>
      </c>
      <c r="E502" s="166">
        <f t="shared" si="37"/>
        <v>20.542116733982184</v>
      </c>
      <c r="F502" s="188" t="str">
        <f t="shared" si="34"/>
        <v/>
      </c>
      <c r="H502" t="str">
        <f t="shared" si="36"/>
        <v/>
      </c>
      <c r="I502" s="188" t="str">
        <f t="shared" si="35"/>
        <v/>
      </c>
    </row>
    <row r="503" spans="1:9">
      <c r="A503">
        <v>500</v>
      </c>
      <c r="B503" s="46">
        <v>45944</v>
      </c>
      <c r="C503" s="166">
        <v>24.89823804697847</v>
      </c>
      <c r="D503" s="166">
        <v>43.337721010228627</v>
      </c>
      <c r="E503" s="166">
        <f t="shared" si="37"/>
        <v>24.89823804697847</v>
      </c>
      <c r="F503" s="188" t="str">
        <f t="shared" si="34"/>
        <v/>
      </c>
      <c r="G503" s="189" t="str">
        <f>IF(DAY(B503)=15,D503,"")</f>
        <v/>
      </c>
      <c r="H503" t="str">
        <f t="shared" si="36"/>
        <v/>
      </c>
      <c r="I503" s="188" t="str">
        <f t="shared" si="35"/>
        <v/>
      </c>
    </row>
    <row r="504" spans="1:9">
      <c r="A504">
        <v>501</v>
      </c>
      <c r="B504" s="46">
        <v>45945</v>
      </c>
      <c r="C504" s="166">
        <v>21.393126561020022</v>
      </c>
      <c r="D504" s="166">
        <v>43.337721010228627</v>
      </c>
      <c r="E504" s="166">
        <f t="shared" si="37"/>
        <v>21.393126561020022</v>
      </c>
      <c r="F504" s="188" t="str">
        <f t="shared" si="34"/>
        <v>O</v>
      </c>
      <c r="H504" t="str">
        <f t="shared" si="36"/>
        <v/>
      </c>
      <c r="I504" s="188" t="str">
        <f t="shared" si="35"/>
        <v>O</v>
      </c>
    </row>
    <row r="505" spans="1:9">
      <c r="A505">
        <v>502</v>
      </c>
      <c r="B505" s="46">
        <v>45946</v>
      </c>
      <c r="C505" s="166">
        <v>14.410976650018158</v>
      </c>
      <c r="D505" s="166">
        <v>43.337721010228627</v>
      </c>
      <c r="E505" s="166">
        <f t="shared" si="37"/>
        <v>14.410976650018158</v>
      </c>
      <c r="F505" s="188" t="str">
        <f t="shared" si="34"/>
        <v/>
      </c>
      <c r="H505" t="str">
        <f t="shared" si="36"/>
        <v/>
      </c>
      <c r="I505" s="188" t="str">
        <f t="shared" si="35"/>
        <v/>
      </c>
    </row>
    <row r="506" spans="1:9">
      <c r="A506">
        <v>503</v>
      </c>
      <c r="B506" s="46">
        <v>45947</v>
      </c>
      <c r="C506" s="166">
        <v>10.265706714020023</v>
      </c>
      <c r="D506" s="166">
        <v>43.337721010228627</v>
      </c>
      <c r="E506" s="166">
        <f t="shared" si="37"/>
        <v>10.265706714020023</v>
      </c>
      <c r="F506" s="188" t="str">
        <f t="shared" si="34"/>
        <v/>
      </c>
      <c r="H506" t="str">
        <f t="shared" si="36"/>
        <v/>
      </c>
      <c r="I506" s="188" t="str">
        <f t="shared" si="35"/>
        <v/>
      </c>
    </row>
    <row r="507" spans="1:9">
      <c r="A507">
        <v>504</v>
      </c>
      <c r="B507" s="46">
        <v>45948</v>
      </c>
      <c r="C507" s="166">
        <v>12.446014266016297</v>
      </c>
      <c r="D507" s="166">
        <v>43.337721010228627</v>
      </c>
      <c r="E507" s="166">
        <f t="shared" si="37"/>
        <v>12.446014266016297</v>
      </c>
      <c r="F507" s="188" t="str">
        <f t="shared" si="34"/>
        <v/>
      </c>
      <c r="H507" t="str">
        <f t="shared" si="36"/>
        <v/>
      </c>
      <c r="I507" s="188" t="str">
        <f t="shared" si="35"/>
        <v/>
      </c>
    </row>
    <row r="508" spans="1:9">
      <c r="A508">
        <v>505</v>
      </c>
      <c r="B508" s="46">
        <v>45949</v>
      </c>
      <c r="C508" s="166">
        <v>1.1078882780200183</v>
      </c>
      <c r="D508" s="166">
        <v>43.337721010228627</v>
      </c>
      <c r="E508" s="166">
        <f t="shared" si="37"/>
        <v>1.1078882780200183</v>
      </c>
      <c r="F508" s="188" t="str">
        <f t="shared" si="34"/>
        <v/>
      </c>
      <c r="H508" t="str">
        <f t="shared" si="36"/>
        <v/>
      </c>
      <c r="I508" s="188" t="str">
        <f t="shared" si="35"/>
        <v/>
      </c>
    </row>
    <row r="509" spans="1:9">
      <c r="A509">
        <v>506</v>
      </c>
      <c r="B509" s="46">
        <v>45950</v>
      </c>
      <c r="C509" s="166">
        <v>0.65396796601815732</v>
      </c>
      <c r="D509" s="166">
        <v>43.337721010228627</v>
      </c>
      <c r="E509" s="166">
        <f t="shared" si="37"/>
        <v>0.65396796601815732</v>
      </c>
      <c r="F509" s="188" t="str">
        <f t="shared" si="34"/>
        <v/>
      </c>
      <c r="H509" t="str">
        <f t="shared" si="36"/>
        <v/>
      </c>
      <c r="I509" s="188" t="str">
        <f t="shared" si="35"/>
        <v/>
      </c>
    </row>
    <row r="510" spans="1:9">
      <c r="A510">
        <v>507</v>
      </c>
      <c r="B510" s="46">
        <v>45951</v>
      </c>
      <c r="C510" s="166">
        <v>1.5265814540200227</v>
      </c>
      <c r="D510" s="166">
        <v>43.337721010228627</v>
      </c>
      <c r="E510" s="166">
        <f t="shared" si="37"/>
        <v>1.5265814540200227</v>
      </c>
      <c r="F510" s="188" t="str">
        <f t="shared" si="34"/>
        <v/>
      </c>
      <c r="H510" t="str">
        <f t="shared" si="36"/>
        <v/>
      </c>
      <c r="I510" s="188" t="str">
        <f t="shared" si="35"/>
        <v/>
      </c>
    </row>
    <row r="511" spans="1:9">
      <c r="A511">
        <v>508</v>
      </c>
      <c r="B511" s="46">
        <v>45952</v>
      </c>
      <c r="C511" s="166">
        <v>5.4675888744298424</v>
      </c>
      <c r="D511" s="166">
        <v>43.337721010228627</v>
      </c>
      <c r="E511" s="166">
        <f t="shared" si="37"/>
        <v>5.4675888744298424</v>
      </c>
      <c r="F511" s="188" t="str">
        <f t="shared" si="34"/>
        <v/>
      </c>
      <c r="H511" t="str">
        <f t="shared" si="36"/>
        <v/>
      </c>
      <c r="I511" s="188" t="str">
        <f t="shared" si="35"/>
        <v/>
      </c>
    </row>
    <row r="512" spans="1:9">
      <c r="A512">
        <v>509</v>
      </c>
      <c r="B512" s="46">
        <v>45953</v>
      </c>
      <c r="C512" s="166">
        <v>1.0800620864317025</v>
      </c>
      <c r="D512" s="166">
        <v>43.337721010228627</v>
      </c>
      <c r="E512" s="166">
        <f t="shared" si="37"/>
        <v>1.0800620864317025</v>
      </c>
      <c r="F512" s="188" t="str">
        <f t="shared" si="34"/>
        <v/>
      </c>
      <c r="H512" t="str">
        <f t="shared" si="36"/>
        <v/>
      </c>
      <c r="I512" s="188" t="str">
        <f t="shared" si="35"/>
        <v/>
      </c>
    </row>
    <row r="513" spans="1:9">
      <c r="A513">
        <v>510</v>
      </c>
      <c r="B513" s="46">
        <v>45954</v>
      </c>
      <c r="C513" s="166">
        <v>37.674494370431702</v>
      </c>
      <c r="D513" s="166">
        <v>43.337721010228627</v>
      </c>
      <c r="E513" s="166">
        <f t="shared" si="37"/>
        <v>37.674494370431702</v>
      </c>
      <c r="F513" s="188" t="str">
        <f t="shared" si="34"/>
        <v/>
      </c>
      <c r="H513" t="str">
        <f t="shared" si="36"/>
        <v/>
      </c>
      <c r="I513" s="188" t="str">
        <f t="shared" si="35"/>
        <v/>
      </c>
    </row>
    <row r="514" spans="1:9">
      <c r="A514">
        <v>511</v>
      </c>
      <c r="B514" s="46">
        <v>45955</v>
      </c>
      <c r="C514" s="166">
        <v>35.987860658427977</v>
      </c>
      <c r="D514" s="166">
        <v>43.337721010228627</v>
      </c>
      <c r="E514" s="166">
        <f t="shared" si="37"/>
        <v>35.987860658427977</v>
      </c>
      <c r="F514" s="188" t="str">
        <f t="shared" si="34"/>
        <v/>
      </c>
      <c r="H514" t="str">
        <f t="shared" si="36"/>
        <v/>
      </c>
      <c r="I514" s="188" t="str">
        <f t="shared" si="35"/>
        <v/>
      </c>
    </row>
    <row r="515" spans="1:9">
      <c r="A515">
        <v>512</v>
      </c>
      <c r="B515" s="46">
        <v>45956</v>
      </c>
      <c r="C515" s="166">
        <v>9.4288872184317007</v>
      </c>
      <c r="D515" s="166">
        <v>43.337721010228627</v>
      </c>
      <c r="E515" s="166">
        <f t="shared" si="37"/>
        <v>9.4288872184317007</v>
      </c>
      <c r="F515" s="188" t="str">
        <f t="shared" ref="F515:F578" si="38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t="str">
        <f t="shared" si="36"/>
        <v/>
      </c>
      <c r="I515" s="188" t="str">
        <f t="shared" si="35"/>
        <v/>
      </c>
    </row>
    <row r="516" spans="1:9">
      <c r="A516">
        <v>513</v>
      </c>
      <c r="B516" s="46">
        <v>45957</v>
      </c>
      <c r="C516" s="166">
        <v>32.528654106431709</v>
      </c>
      <c r="D516" s="166">
        <v>43.337721010228627</v>
      </c>
      <c r="E516" s="166">
        <f t="shared" si="37"/>
        <v>32.528654106431709</v>
      </c>
      <c r="F516" s="188" t="str">
        <f t="shared" si="38"/>
        <v/>
      </c>
      <c r="H516" t="str">
        <f t="shared" si="36"/>
        <v/>
      </c>
      <c r="I516" s="188" t="str">
        <f t="shared" ref="I516:I579" si="39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</row>
    <row r="517" spans="1:9">
      <c r="A517">
        <v>514</v>
      </c>
      <c r="B517" s="46">
        <v>45958</v>
      </c>
      <c r="C517" s="166">
        <v>34.8785735104317</v>
      </c>
      <c r="D517" s="166">
        <v>43.337721010228627</v>
      </c>
      <c r="E517" s="166">
        <f t="shared" si="37"/>
        <v>34.8785735104317</v>
      </c>
      <c r="F517" s="188" t="str">
        <f t="shared" si="38"/>
        <v/>
      </c>
      <c r="H517" t="str">
        <f t="shared" ref="H517:H580" si="40">IF(MONTH(B517)=1,IF(DAY(B517)=1,YEAR(B517),""),"")</f>
        <v/>
      </c>
      <c r="I517" s="188" t="str">
        <f t="shared" si="39"/>
        <v/>
      </c>
    </row>
    <row r="518" spans="1:9">
      <c r="A518">
        <v>515</v>
      </c>
      <c r="B518" s="46">
        <v>45959</v>
      </c>
      <c r="C518" s="166">
        <v>45.977988408789201</v>
      </c>
      <c r="D518" s="166">
        <v>43.337721010228627</v>
      </c>
      <c r="E518" s="166">
        <f t="shared" si="37"/>
        <v>43.337721010228627</v>
      </c>
      <c r="F518" s="188" t="str">
        <f t="shared" si="38"/>
        <v/>
      </c>
      <c r="H518" t="str">
        <f t="shared" si="40"/>
        <v/>
      </c>
      <c r="I518" s="188" t="str">
        <f t="shared" si="39"/>
        <v/>
      </c>
    </row>
    <row r="519" spans="1:9">
      <c r="A519">
        <v>516</v>
      </c>
      <c r="B519" s="46">
        <v>45960</v>
      </c>
      <c r="C519" s="166">
        <v>37.268005940792925</v>
      </c>
      <c r="D519" s="166">
        <v>43.337721010228627</v>
      </c>
      <c r="E519" s="166">
        <f t="shared" si="37"/>
        <v>37.268005940792925</v>
      </c>
      <c r="F519" s="188" t="str">
        <f t="shared" si="38"/>
        <v/>
      </c>
      <c r="H519" t="str">
        <f t="shared" si="40"/>
        <v/>
      </c>
      <c r="I519" s="188" t="str">
        <f t="shared" si="39"/>
        <v/>
      </c>
    </row>
    <row r="520" spans="1:9">
      <c r="A520">
        <v>517</v>
      </c>
      <c r="B520" s="46">
        <v>45961</v>
      </c>
      <c r="C520" s="166">
        <v>21.037160460791064</v>
      </c>
      <c r="D520" s="166">
        <v>43.337721010228627</v>
      </c>
      <c r="E520" s="166">
        <f t="shared" si="37"/>
        <v>21.037160460791064</v>
      </c>
      <c r="F520" s="188" t="str">
        <f t="shared" si="38"/>
        <v/>
      </c>
      <c r="H520" t="str">
        <f t="shared" si="40"/>
        <v/>
      </c>
      <c r="I520" s="188" t="str">
        <f t="shared" si="39"/>
        <v/>
      </c>
    </row>
    <row r="521" spans="1:9">
      <c r="A521">
        <v>518</v>
      </c>
      <c r="B521" s="46">
        <v>45962</v>
      </c>
      <c r="C521" s="166">
        <v>18.258551112792919</v>
      </c>
      <c r="D521" s="166">
        <v>82.357864438204317</v>
      </c>
      <c r="E521" s="166">
        <f t="shared" si="37"/>
        <v>18.258551112792919</v>
      </c>
      <c r="F521" s="188" t="str">
        <f t="shared" si="38"/>
        <v/>
      </c>
      <c r="H521" t="str">
        <f t="shared" si="40"/>
        <v/>
      </c>
      <c r="I521" s="188" t="str">
        <f t="shared" si="39"/>
        <v/>
      </c>
    </row>
    <row r="522" spans="1:9">
      <c r="A522">
        <v>519</v>
      </c>
      <c r="B522" s="46">
        <v>45963</v>
      </c>
      <c r="C522" s="166">
        <v>9.4054813527910586</v>
      </c>
      <c r="D522" s="166">
        <v>82.357864438204317</v>
      </c>
      <c r="E522" s="166">
        <f t="shared" si="37"/>
        <v>9.4054813527910586</v>
      </c>
      <c r="F522" s="188" t="str">
        <f t="shared" si="38"/>
        <v/>
      </c>
      <c r="H522" t="str">
        <f t="shared" si="40"/>
        <v/>
      </c>
      <c r="I522" s="188" t="str">
        <f t="shared" si="39"/>
        <v/>
      </c>
    </row>
    <row r="523" spans="1:9">
      <c r="A523">
        <v>520</v>
      </c>
      <c r="B523" s="46">
        <v>45964</v>
      </c>
      <c r="C523" s="166">
        <v>38.726539824791061</v>
      </c>
      <c r="D523" s="166">
        <v>82.357864438204317</v>
      </c>
      <c r="E523" s="166">
        <f t="shared" si="37"/>
        <v>38.726539824791061</v>
      </c>
      <c r="F523" s="188" t="str">
        <f t="shared" si="38"/>
        <v/>
      </c>
      <c r="H523" t="str">
        <f t="shared" si="40"/>
        <v/>
      </c>
      <c r="I523" s="188" t="str">
        <f t="shared" si="39"/>
        <v/>
      </c>
    </row>
    <row r="524" spans="1:9">
      <c r="A524">
        <v>521</v>
      </c>
      <c r="B524" s="46">
        <v>45965</v>
      </c>
      <c r="C524" s="166">
        <v>26.215021088791058</v>
      </c>
      <c r="D524" s="166">
        <v>82.357864438204317</v>
      </c>
      <c r="E524" s="166">
        <f t="shared" si="37"/>
        <v>26.215021088791058</v>
      </c>
      <c r="F524" s="188" t="str">
        <f t="shared" si="38"/>
        <v/>
      </c>
      <c r="H524" t="str">
        <f t="shared" si="40"/>
        <v/>
      </c>
      <c r="I524" s="188" t="str">
        <f t="shared" si="39"/>
        <v/>
      </c>
    </row>
    <row r="525" spans="1:9">
      <c r="A525">
        <v>522</v>
      </c>
      <c r="B525" s="46">
        <v>45966</v>
      </c>
      <c r="C525" s="166">
        <v>32.276479210904796</v>
      </c>
      <c r="D525" s="166">
        <v>82.357864438204317</v>
      </c>
      <c r="E525" s="166">
        <f t="shared" si="37"/>
        <v>32.276479210904796</v>
      </c>
      <c r="F525" s="188" t="str">
        <f t="shared" si="38"/>
        <v/>
      </c>
      <c r="H525" t="str">
        <f t="shared" si="40"/>
        <v/>
      </c>
      <c r="I525" s="188" t="str">
        <f t="shared" si="39"/>
        <v/>
      </c>
    </row>
    <row r="526" spans="1:9">
      <c r="A526">
        <v>523</v>
      </c>
      <c r="B526" s="46">
        <v>45967</v>
      </c>
      <c r="C526" s="166">
        <v>42.908423434906659</v>
      </c>
      <c r="D526" s="166">
        <v>82.357864438204317</v>
      </c>
      <c r="E526" s="166">
        <f t="shared" si="37"/>
        <v>42.908423434906659</v>
      </c>
      <c r="F526" s="188" t="str">
        <f t="shared" si="38"/>
        <v/>
      </c>
      <c r="H526" t="str">
        <f t="shared" si="40"/>
        <v/>
      </c>
      <c r="I526" s="188" t="str">
        <f t="shared" si="39"/>
        <v/>
      </c>
    </row>
    <row r="527" spans="1:9">
      <c r="A527">
        <v>524</v>
      </c>
      <c r="B527" s="46">
        <v>45968</v>
      </c>
      <c r="C527" s="166">
        <v>71.095897382904809</v>
      </c>
      <c r="D527" s="166">
        <v>82.357864438204317</v>
      </c>
      <c r="E527" s="166">
        <f t="shared" ref="E527:E590" si="41">IF(C527&lt;D527,C527,D527)</f>
        <v>71.095897382904809</v>
      </c>
      <c r="F527" s="188" t="str">
        <f t="shared" si="38"/>
        <v/>
      </c>
      <c r="H527" t="str">
        <f t="shared" si="40"/>
        <v/>
      </c>
      <c r="I527" s="188" t="str">
        <f t="shared" si="39"/>
        <v/>
      </c>
    </row>
    <row r="528" spans="1:9">
      <c r="A528">
        <v>525</v>
      </c>
      <c r="B528" s="46">
        <v>45969</v>
      </c>
      <c r="C528" s="166">
        <v>47.45829990290666</v>
      </c>
      <c r="D528" s="166">
        <v>82.357864438204317</v>
      </c>
      <c r="E528" s="166">
        <f t="shared" si="41"/>
        <v>47.45829990290666</v>
      </c>
      <c r="F528" s="188" t="str">
        <f t="shared" si="38"/>
        <v/>
      </c>
      <c r="H528" t="str">
        <f t="shared" si="40"/>
        <v/>
      </c>
      <c r="I528" s="188" t="str">
        <f t="shared" si="39"/>
        <v/>
      </c>
    </row>
    <row r="529" spans="1:9">
      <c r="A529">
        <v>526</v>
      </c>
      <c r="B529" s="46">
        <v>45970</v>
      </c>
      <c r="C529" s="166">
        <v>55.128240406906663</v>
      </c>
      <c r="D529" s="166">
        <v>82.357864438204317</v>
      </c>
      <c r="E529" s="166">
        <f t="shared" si="41"/>
        <v>55.128240406906663</v>
      </c>
      <c r="F529" s="188" t="str">
        <f t="shared" si="38"/>
        <v/>
      </c>
      <c r="H529" t="str">
        <f t="shared" si="40"/>
        <v/>
      </c>
      <c r="I529" s="188" t="str">
        <f t="shared" si="39"/>
        <v/>
      </c>
    </row>
    <row r="530" spans="1:9">
      <c r="A530">
        <v>527</v>
      </c>
      <c r="B530" s="46">
        <v>45971</v>
      </c>
      <c r="C530" s="166">
        <v>84.207346098904807</v>
      </c>
      <c r="D530" s="166">
        <v>82.357864438204317</v>
      </c>
      <c r="E530" s="166">
        <f t="shared" si="41"/>
        <v>82.357864438204317</v>
      </c>
      <c r="F530" s="188" t="str">
        <f t="shared" si="38"/>
        <v/>
      </c>
      <c r="H530" t="str">
        <f t="shared" si="40"/>
        <v/>
      </c>
      <c r="I530" s="188" t="str">
        <f t="shared" si="39"/>
        <v/>
      </c>
    </row>
    <row r="531" spans="1:9">
      <c r="A531">
        <v>528</v>
      </c>
      <c r="B531" s="46">
        <v>45972</v>
      </c>
      <c r="C531" s="166">
        <v>63.072944074906665</v>
      </c>
      <c r="D531" s="166">
        <v>82.357864438204317</v>
      </c>
      <c r="E531" s="166">
        <f t="shared" si="41"/>
        <v>63.072944074906665</v>
      </c>
      <c r="F531" s="188" t="str">
        <f t="shared" si="38"/>
        <v/>
      </c>
      <c r="H531" t="str">
        <f t="shared" si="40"/>
        <v/>
      </c>
      <c r="I531" s="188" t="str">
        <f t="shared" si="39"/>
        <v/>
      </c>
    </row>
    <row r="532" spans="1:9">
      <c r="A532">
        <v>529</v>
      </c>
      <c r="B532" s="46">
        <v>45973</v>
      </c>
      <c r="C532" s="166">
        <v>99.469765719958872</v>
      </c>
      <c r="D532" s="166">
        <v>82.357864438204317</v>
      </c>
      <c r="E532" s="166">
        <f t="shared" si="41"/>
        <v>82.357864438204317</v>
      </c>
      <c r="F532" s="188" t="str">
        <f t="shared" si="38"/>
        <v/>
      </c>
      <c r="H532" t="str">
        <f t="shared" si="40"/>
        <v/>
      </c>
      <c r="I532" s="188" t="str">
        <f t="shared" si="39"/>
        <v/>
      </c>
    </row>
    <row r="533" spans="1:9">
      <c r="A533">
        <v>530</v>
      </c>
      <c r="B533" s="46">
        <v>45974</v>
      </c>
      <c r="C533" s="166">
        <v>109.47637719995888</v>
      </c>
      <c r="D533" s="166">
        <v>82.357864438204317</v>
      </c>
      <c r="E533" s="166">
        <f t="shared" si="41"/>
        <v>82.357864438204317</v>
      </c>
      <c r="F533" s="188" t="str">
        <f t="shared" si="38"/>
        <v/>
      </c>
      <c r="H533" t="str">
        <f t="shared" si="40"/>
        <v/>
      </c>
      <c r="I533" s="188" t="str">
        <f t="shared" si="39"/>
        <v/>
      </c>
    </row>
    <row r="534" spans="1:9">
      <c r="A534">
        <v>531</v>
      </c>
      <c r="B534" s="46">
        <v>45975</v>
      </c>
      <c r="C534" s="166">
        <v>108.85852181195887</v>
      </c>
      <c r="D534" s="166">
        <v>82.357864438204317</v>
      </c>
      <c r="E534" s="166">
        <f t="shared" si="41"/>
        <v>82.357864438204317</v>
      </c>
      <c r="F534" s="188" t="str">
        <f t="shared" si="38"/>
        <v/>
      </c>
      <c r="G534" s="189" t="str">
        <f>IF(DAY(B534)=15,D534,"")</f>
        <v/>
      </c>
      <c r="H534" t="str">
        <f t="shared" si="40"/>
        <v/>
      </c>
      <c r="I534" s="188" t="str">
        <f t="shared" si="39"/>
        <v/>
      </c>
    </row>
    <row r="535" spans="1:9">
      <c r="A535">
        <v>532</v>
      </c>
      <c r="B535" s="46">
        <v>45976</v>
      </c>
      <c r="C535" s="166">
        <v>117.35213305995887</v>
      </c>
      <c r="D535" s="166">
        <v>82.357864438204317</v>
      </c>
      <c r="E535" s="166">
        <f t="shared" si="41"/>
        <v>82.357864438204317</v>
      </c>
      <c r="F535" s="188" t="str">
        <f t="shared" si="38"/>
        <v>N</v>
      </c>
      <c r="H535" t="str">
        <f t="shared" si="40"/>
        <v/>
      </c>
      <c r="I535" s="188" t="str">
        <f t="shared" si="39"/>
        <v>N</v>
      </c>
    </row>
    <row r="536" spans="1:9">
      <c r="A536">
        <v>533</v>
      </c>
      <c r="B536" s="46">
        <v>45977</v>
      </c>
      <c r="C536" s="166">
        <v>119.62128931595889</v>
      </c>
      <c r="D536" s="166">
        <v>82.357864438204317</v>
      </c>
      <c r="E536" s="166">
        <f t="shared" si="41"/>
        <v>82.357864438204317</v>
      </c>
      <c r="F536" s="188" t="str">
        <f t="shared" si="38"/>
        <v/>
      </c>
      <c r="H536" t="str">
        <f t="shared" si="40"/>
        <v/>
      </c>
      <c r="I536" s="188" t="str">
        <f t="shared" si="39"/>
        <v/>
      </c>
    </row>
    <row r="537" spans="1:9">
      <c r="A537">
        <v>534</v>
      </c>
      <c r="B537" s="46">
        <v>45978</v>
      </c>
      <c r="C537" s="166">
        <v>139.89352868395886</v>
      </c>
      <c r="D537" s="166">
        <v>82.357864438204317</v>
      </c>
      <c r="E537" s="166">
        <f t="shared" si="41"/>
        <v>82.357864438204317</v>
      </c>
      <c r="F537" s="188" t="str">
        <f t="shared" si="38"/>
        <v/>
      </c>
      <c r="H537" t="str">
        <f t="shared" si="40"/>
        <v/>
      </c>
      <c r="I537" s="188" t="str">
        <f t="shared" si="39"/>
        <v/>
      </c>
    </row>
    <row r="538" spans="1:9">
      <c r="A538">
        <v>535</v>
      </c>
      <c r="B538" s="46">
        <v>45979</v>
      </c>
      <c r="C538" s="166">
        <v>138.29056451996072</v>
      </c>
      <c r="D538" s="166">
        <v>82.357864438204317</v>
      </c>
      <c r="E538" s="166">
        <f t="shared" si="41"/>
        <v>82.357864438204317</v>
      </c>
      <c r="F538" s="188" t="str">
        <f t="shared" si="38"/>
        <v/>
      </c>
      <c r="H538" t="str">
        <f t="shared" si="40"/>
        <v/>
      </c>
      <c r="I538" s="188" t="str">
        <f t="shared" si="39"/>
        <v/>
      </c>
    </row>
    <row r="539" spans="1:9">
      <c r="A539">
        <v>536</v>
      </c>
      <c r="B539" s="46">
        <v>45980</v>
      </c>
      <c r="C539" s="166">
        <v>120.09712795010759</v>
      </c>
      <c r="D539" s="166">
        <v>82.357864438204317</v>
      </c>
      <c r="E539" s="166">
        <f t="shared" si="41"/>
        <v>82.357864438204317</v>
      </c>
      <c r="F539" s="188" t="str">
        <f t="shared" si="38"/>
        <v/>
      </c>
      <c r="H539" t="str">
        <f t="shared" si="40"/>
        <v/>
      </c>
      <c r="I539" s="188" t="str">
        <f t="shared" si="39"/>
        <v/>
      </c>
    </row>
    <row r="540" spans="1:9">
      <c r="A540">
        <v>537</v>
      </c>
      <c r="B540" s="46">
        <v>45981</v>
      </c>
      <c r="C540" s="166">
        <v>108.98283646210758</v>
      </c>
      <c r="D540" s="166">
        <v>82.357864438204317</v>
      </c>
      <c r="E540" s="166">
        <f t="shared" si="41"/>
        <v>82.357864438204317</v>
      </c>
      <c r="F540" s="188" t="str">
        <f t="shared" si="38"/>
        <v/>
      </c>
      <c r="H540" t="str">
        <f t="shared" si="40"/>
        <v/>
      </c>
      <c r="I540" s="188" t="str">
        <f t="shared" si="39"/>
        <v/>
      </c>
    </row>
    <row r="541" spans="1:9">
      <c r="A541">
        <v>538</v>
      </c>
      <c r="B541" s="46">
        <v>45982</v>
      </c>
      <c r="C541" s="166">
        <v>105.42105569810759</v>
      </c>
      <c r="D541" s="166">
        <v>82.357864438204317</v>
      </c>
      <c r="E541" s="166">
        <f t="shared" si="41"/>
        <v>82.357864438204317</v>
      </c>
      <c r="F541" s="188" t="str">
        <f t="shared" si="38"/>
        <v/>
      </c>
      <c r="H541" t="str">
        <f t="shared" si="40"/>
        <v/>
      </c>
      <c r="I541" s="188" t="str">
        <f t="shared" si="39"/>
        <v/>
      </c>
    </row>
    <row r="542" spans="1:9">
      <c r="A542">
        <v>539</v>
      </c>
      <c r="B542" s="46">
        <v>45983</v>
      </c>
      <c r="C542" s="166">
        <v>95.949400002107595</v>
      </c>
      <c r="D542" s="166">
        <v>82.357864438204317</v>
      </c>
      <c r="E542" s="166">
        <f t="shared" si="41"/>
        <v>82.357864438204317</v>
      </c>
      <c r="F542" s="188" t="str">
        <f t="shared" si="38"/>
        <v/>
      </c>
      <c r="H542" t="str">
        <f t="shared" si="40"/>
        <v/>
      </c>
      <c r="I542" s="188" t="str">
        <f t="shared" si="39"/>
        <v/>
      </c>
    </row>
    <row r="543" spans="1:9">
      <c r="A543">
        <v>540</v>
      </c>
      <c r="B543" s="46">
        <v>45984</v>
      </c>
      <c r="C543" s="166">
        <v>80.399772578107587</v>
      </c>
      <c r="D543" s="166">
        <v>82.357864438204317</v>
      </c>
      <c r="E543" s="166">
        <f t="shared" si="41"/>
        <v>80.399772578107587</v>
      </c>
      <c r="F543" s="188" t="str">
        <f t="shared" si="38"/>
        <v/>
      </c>
      <c r="H543" t="str">
        <f t="shared" si="40"/>
        <v/>
      </c>
      <c r="I543" s="188" t="str">
        <f t="shared" si="39"/>
        <v/>
      </c>
    </row>
    <row r="544" spans="1:9">
      <c r="A544">
        <v>541</v>
      </c>
      <c r="B544" s="46">
        <v>45985</v>
      </c>
      <c r="C544" s="166">
        <v>76.287765526107606</v>
      </c>
      <c r="D544" s="166">
        <v>82.357864438204317</v>
      </c>
      <c r="E544" s="166">
        <f t="shared" si="41"/>
        <v>76.287765526107606</v>
      </c>
      <c r="F544" s="188" t="str">
        <f t="shared" si="38"/>
        <v/>
      </c>
      <c r="H544" t="str">
        <f t="shared" si="40"/>
        <v/>
      </c>
      <c r="I544" s="188" t="str">
        <f t="shared" si="39"/>
        <v/>
      </c>
    </row>
    <row r="545" spans="1:9">
      <c r="A545">
        <v>542</v>
      </c>
      <c r="B545" s="46">
        <v>45986</v>
      </c>
      <c r="C545" s="166">
        <v>84.538143318109448</v>
      </c>
      <c r="D545" s="166">
        <v>82.357864438204317</v>
      </c>
      <c r="E545" s="166">
        <f t="shared" si="41"/>
        <v>82.357864438204317</v>
      </c>
      <c r="F545" s="188" t="str">
        <f t="shared" si="38"/>
        <v/>
      </c>
      <c r="H545" t="str">
        <f t="shared" si="40"/>
        <v/>
      </c>
      <c r="I545" s="188" t="str">
        <f t="shared" si="39"/>
        <v/>
      </c>
    </row>
    <row r="546" spans="1:9">
      <c r="A546">
        <v>543</v>
      </c>
      <c r="B546" s="46">
        <v>45987</v>
      </c>
      <c r="C546" s="166">
        <v>90.684440992273366</v>
      </c>
      <c r="D546" s="166">
        <v>82.357864438204317</v>
      </c>
      <c r="E546" s="166">
        <f t="shared" si="41"/>
        <v>82.357864438204317</v>
      </c>
      <c r="F546" s="188" t="str">
        <f t="shared" si="38"/>
        <v/>
      </c>
      <c r="H546" t="str">
        <f t="shared" si="40"/>
        <v/>
      </c>
      <c r="I546" s="188" t="str">
        <f t="shared" si="39"/>
        <v/>
      </c>
    </row>
    <row r="547" spans="1:9">
      <c r="A547">
        <v>544</v>
      </c>
      <c r="B547" s="46">
        <v>45988</v>
      </c>
      <c r="C547" s="166">
        <v>109.85750236427336</v>
      </c>
      <c r="D547" s="166">
        <v>82.357864438204317</v>
      </c>
      <c r="E547" s="166">
        <f t="shared" si="41"/>
        <v>82.357864438204317</v>
      </c>
      <c r="F547" s="188" t="str">
        <f t="shared" si="38"/>
        <v/>
      </c>
      <c r="H547" t="str">
        <f t="shared" si="40"/>
        <v/>
      </c>
      <c r="I547" s="188" t="str">
        <f t="shared" si="39"/>
        <v/>
      </c>
    </row>
    <row r="548" spans="1:9">
      <c r="A548">
        <v>545</v>
      </c>
      <c r="B548" s="46">
        <v>45989</v>
      </c>
      <c r="C548" s="166">
        <v>121.55350244827522</v>
      </c>
      <c r="D548" s="166">
        <v>82.357864438204317</v>
      </c>
      <c r="E548" s="166">
        <f t="shared" si="41"/>
        <v>82.357864438204317</v>
      </c>
      <c r="F548" s="188" t="str">
        <f t="shared" si="38"/>
        <v/>
      </c>
      <c r="H548" t="str">
        <f t="shared" si="40"/>
        <v/>
      </c>
      <c r="I548" s="188" t="str">
        <f t="shared" si="39"/>
        <v/>
      </c>
    </row>
    <row r="549" spans="1:9">
      <c r="A549">
        <v>546</v>
      </c>
      <c r="B549" s="46">
        <v>45990</v>
      </c>
      <c r="C549" s="166">
        <v>89.540681420273344</v>
      </c>
      <c r="D549" s="166">
        <v>82.357864438204317</v>
      </c>
      <c r="E549" s="166">
        <f t="shared" si="41"/>
        <v>82.357864438204317</v>
      </c>
      <c r="F549" s="188" t="str">
        <f t="shared" si="38"/>
        <v/>
      </c>
      <c r="H549" t="str">
        <f t="shared" si="40"/>
        <v/>
      </c>
      <c r="I549" s="188" t="str">
        <f t="shared" si="39"/>
        <v/>
      </c>
    </row>
    <row r="550" spans="1:9">
      <c r="A550">
        <v>547</v>
      </c>
      <c r="B550" s="46">
        <v>45991</v>
      </c>
      <c r="C550" s="166">
        <v>70.624009588275214</v>
      </c>
      <c r="D550" s="166">
        <v>82.357864438204317</v>
      </c>
      <c r="E550" s="166">
        <f t="shared" si="41"/>
        <v>70.624009588275214</v>
      </c>
      <c r="F550" s="188" t="str">
        <f t="shared" si="38"/>
        <v/>
      </c>
      <c r="H550" t="str">
        <f t="shared" si="40"/>
        <v/>
      </c>
      <c r="I550" s="188" t="str">
        <f t="shared" si="39"/>
        <v/>
      </c>
    </row>
    <row r="551" spans="1:9">
      <c r="A551">
        <v>548</v>
      </c>
      <c r="B551" s="46">
        <v>45992</v>
      </c>
      <c r="C551" s="166">
        <v>97.901718364271488</v>
      </c>
      <c r="D551" s="166">
        <v>105.05542662095111</v>
      </c>
      <c r="E551" s="166">
        <f t="shared" si="41"/>
        <v>97.901718364271488</v>
      </c>
      <c r="F551" s="188" t="str">
        <f t="shared" si="38"/>
        <v/>
      </c>
      <c r="H551" t="str">
        <f t="shared" si="40"/>
        <v/>
      </c>
      <c r="I551" s="188" t="str">
        <f t="shared" si="39"/>
        <v/>
      </c>
    </row>
    <row r="552" spans="1:9">
      <c r="A552">
        <v>549</v>
      </c>
      <c r="B552" s="46">
        <v>45993</v>
      </c>
      <c r="C552" s="166">
        <v>114.38635698427709</v>
      </c>
      <c r="D552" s="166">
        <v>105.05542662095111</v>
      </c>
      <c r="E552" s="166">
        <f t="shared" si="41"/>
        <v>105.05542662095111</v>
      </c>
      <c r="F552" s="188" t="str">
        <f t="shared" si="38"/>
        <v/>
      </c>
      <c r="H552" t="str">
        <f t="shared" si="40"/>
        <v/>
      </c>
      <c r="I552" s="188" t="str">
        <f t="shared" si="39"/>
        <v/>
      </c>
    </row>
    <row r="553" spans="1:9">
      <c r="A553">
        <v>550</v>
      </c>
      <c r="B553" s="46">
        <v>45994</v>
      </c>
      <c r="C553" s="166">
        <v>115.95279221025977</v>
      </c>
      <c r="D553" s="166">
        <v>105.05542662095111</v>
      </c>
      <c r="E553" s="166">
        <f t="shared" si="41"/>
        <v>105.05542662095111</v>
      </c>
      <c r="F553" s="188" t="str">
        <f t="shared" si="38"/>
        <v/>
      </c>
      <c r="H553" t="str">
        <f t="shared" si="40"/>
        <v/>
      </c>
      <c r="I553" s="188" t="str">
        <f t="shared" si="39"/>
        <v/>
      </c>
    </row>
    <row r="554" spans="1:9">
      <c r="A554">
        <v>551</v>
      </c>
      <c r="B554" s="46">
        <v>45995</v>
      </c>
      <c r="C554" s="166">
        <v>107.90464700226349</v>
      </c>
      <c r="D554" s="166">
        <v>105.05542662095111</v>
      </c>
      <c r="E554" s="166">
        <f t="shared" si="41"/>
        <v>105.05542662095111</v>
      </c>
      <c r="F554" s="188" t="str">
        <f t="shared" si="38"/>
        <v/>
      </c>
      <c r="H554" t="str">
        <f t="shared" si="40"/>
        <v/>
      </c>
      <c r="I554" s="188" t="str">
        <f t="shared" si="39"/>
        <v/>
      </c>
    </row>
    <row r="555" spans="1:9">
      <c r="A555">
        <v>552</v>
      </c>
      <c r="B555" s="46">
        <v>45996</v>
      </c>
      <c r="C555" s="166">
        <v>98.86733135026536</v>
      </c>
      <c r="D555" s="166">
        <v>105.05542662095111</v>
      </c>
      <c r="E555" s="166">
        <f t="shared" si="41"/>
        <v>98.86733135026536</v>
      </c>
      <c r="F555" s="188" t="str">
        <f t="shared" si="38"/>
        <v/>
      </c>
      <c r="H555" t="str">
        <f t="shared" si="40"/>
        <v/>
      </c>
      <c r="I555" s="188" t="str">
        <f t="shared" si="39"/>
        <v/>
      </c>
    </row>
    <row r="556" spans="1:9">
      <c r="A556">
        <v>553</v>
      </c>
      <c r="B556" s="46">
        <v>45997</v>
      </c>
      <c r="C556" s="166">
        <v>71.855994462259773</v>
      </c>
      <c r="D556" s="166">
        <v>105.05542662095111</v>
      </c>
      <c r="E556" s="166">
        <f t="shared" si="41"/>
        <v>71.855994462259773</v>
      </c>
      <c r="F556" s="188" t="str">
        <f t="shared" si="38"/>
        <v/>
      </c>
      <c r="H556" t="str">
        <f t="shared" si="40"/>
        <v/>
      </c>
      <c r="I556" s="188" t="str">
        <f t="shared" si="39"/>
        <v/>
      </c>
    </row>
    <row r="557" spans="1:9">
      <c r="A557">
        <v>554</v>
      </c>
      <c r="B557" s="46">
        <v>45998</v>
      </c>
      <c r="C557" s="166">
        <v>77.368225970263495</v>
      </c>
      <c r="D557" s="166">
        <v>105.05542662095111</v>
      </c>
      <c r="E557" s="166">
        <f t="shared" si="41"/>
        <v>77.368225970263495</v>
      </c>
      <c r="F557" s="188" t="str">
        <f t="shared" si="38"/>
        <v/>
      </c>
      <c r="H557" t="str">
        <f t="shared" si="40"/>
        <v/>
      </c>
      <c r="I557" s="188" t="str">
        <f t="shared" si="39"/>
        <v/>
      </c>
    </row>
    <row r="558" spans="1:9">
      <c r="A558">
        <v>555</v>
      </c>
      <c r="B558" s="46">
        <v>45999</v>
      </c>
      <c r="C558" s="166">
        <v>90.036722586261632</v>
      </c>
      <c r="D558" s="166">
        <v>105.05542662095111</v>
      </c>
      <c r="E558" s="166">
        <f t="shared" si="41"/>
        <v>90.036722586261632</v>
      </c>
      <c r="F558" s="188" t="str">
        <f t="shared" si="38"/>
        <v/>
      </c>
      <c r="H558" t="str">
        <f t="shared" si="40"/>
        <v/>
      </c>
      <c r="I558" s="188" t="str">
        <f t="shared" si="39"/>
        <v/>
      </c>
    </row>
    <row r="559" spans="1:9">
      <c r="A559">
        <v>556</v>
      </c>
      <c r="B559" s="46">
        <v>46000</v>
      </c>
      <c r="C559" s="166">
        <v>111.54039784226164</v>
      </c>
      <c r="D559" s="166">
        <v>105.05542662095111</v>
      </c>
      <c r="E559" s="166">
        <f t="shared" si="41"/>
        <v>105.05542662095111</v>
      </c>
      <c r="F559" s="188" t="str">
        <f t="shared" si="38"/>
        <v/>
      </c>
      <c r="H559" t="str">
        <f t="shared" si="40"/>
        <v/>
      </c>
      <c r="I559" s="188" t="str">
        <f t="shared" si="39"/>
        <v/>
      </c>
    </row>
    <row r="560" spans="1:9">
      <c r="A560">
        <v>557</v>
      </c>
      <c r="B560" s="46">
        <v>46001</v>
      </c>
      <c r="C560" s="166">
        <v>126.44105665010481</v>
      </c>
      <c r="D560" s="166">
        <v>105.05542662095111</v>
      </c>
      <c r="E560" s="166">
        <f t="shared" si="41"/>
        <v>105.05542662095111</v>
      </c>
      <c r="F560" s="188" t="str">
        <f t="shared" si="38"/>
        <v/>
      </c>
      <c r="H560" t="str">
        <f t="shared" si="40"/>
        <v/>
      </c>
      <c r="I560" s="188" t="str">
        <f t="shared" si="39"/>
        <v/>
      </c>
    </row>
    <row r="561" spans="1:9">
      <c r="A561">
        <v>558</v>
      </c>
      <c r="B561" s="46">
        <v>46002</v>
      </c>
      <c r="C561" s="166">
        <v>124.33317142610109</v>
      </c>
      <c r="D561" s="166">
        <v>105.05542662095111</v>
      </c>
      <c r="E561" s="166">
        <f t="shared" si="41"/>
        <v>105.05542662095111</v>
      </c>
      <c r="F561" s="188" t="str">
        <f t="shared" si="38"/>
        <v/>
      </c>
      <c r="H561" t="str">
        <f t="shared" si="40"/>
        <v/>
      </c>
      <c r="I561" s="188" t="str">
        <f t="shared" si="39"/>
        <v/>
      </c>
    </row>
    <row r="562" spans="1:9">
      <c r="A562">
        <v>559</v>
      </c>
      <c r="B562" s="46">
        <v>46003</v>
      </c>
      <c r="C562" s="166">
        <v>124.99246693809924</v>
      </c>
      <c r="D562" s="166">
        <v>105.05542662095111</v>
      </c>
      <c r="E562" s="166">
        <f t="shared" si="41"/>
        <v>105.05542662095111</v>
      </c>
      <c r="F562" s="188" t="str">
        <f t="shared" si="38"/>
        <v/>
      </c>
      <c r="H562" t="str">
        <f t="shared" si="40"/>
        <v/>
      </c>
      <c r="I562" s="188" t="str">
        <f t="shared" si="39"/>
        <v/>
      </c>
    </row>
    <row r="563" spans="1:9">
      <c r="A563">
        <v>560</v>
      </c>
      <c r="B563" s="46">
        <v>46004</v>
      </c>
      <c r="C563" s="166">
        <v>89.294658898104828</v>
      </c>
      <c r="D563" s="166">
        <v>105.05542662095111</v>
      </c>
      <c r="E563" s="166">
        <f t="shared" si="41"/>
        <v>89.294658898104828</v>
      </c>
      <c r="F563" s="188" t="str">
        <f t="shared" si="38"/>
        <v/>
      </c>
      <c r="H563" t="str">
        <f t="shared" si="40"/>
        <v/>
      </c>
      <c r="I563" s="188" t="str">
        <f t="shared" si="39"/>
        <v/>
      </c>
    </row>
    <row r="564" spans="1:9">
      <c r="A564">
        <v>561</v>
      </c>
      <c r="B564" s="46">
        <v>46005</v>
      </c>
      <c r="C564" s="166">
        <v>85.4385258381011</v>
      </c>
      <c r="D564" s="166">
        <v>105.05542662095111</v>
      </c>
      <c r="E564" s="166">
        <f t="shared" si="41"/>
        <v>85.4385258381011</v>
      </c>
      <c r="F564" s="188" t="str">
        <f t="shared" si="38"/>
        <v/>
      </c>
      <c r="G564" s="189" t="str">
        <f>IF(DAY(B564)=15,D564,"")</f>
        <v/>
      </c>
      <c r="H564" t="str">
        <f t="shared" si="40"/>
        <v/>
      </c>
      <c r="I564" s="188" t="str">
        <f t="shared" si="39"/>
        <v/>
      </c>
    </row>
    <row r="565" spans="1:9">
      <c r="A565">
        <v>562</v>
      </c>
      <c r="B565" s="46">
        <v>46006</v>
      </c>
      <c r="C565" s="166">
        <v>117.54742772610297</v>
      </c>
      <c r="D565" s="166">
        <v>105.05542662095111</v>
      </c>
      <c r="E565" s="166">
        <f t="shared" si="41"/>
        <v>105.05542662095111</v>
      </c>
      <c r="F565" s="188" t="str">
        <f t="shared" si="38"/>
        <v>D</v>
      </c>
      <c r="H565" t="str">
        <f t="shared" si="40"/>
        <v/>
      </c>
      <c r="I565" s="188" t="str">
        <f t="shared" si="39"/>
        <v>D</v>
      </c>
    </row>
    <row r="566" spans="1:9">
      <c r="A566">
        <v>563</v>
      </c>
      <c r="B566" s="46">
        <v>46007</v>
      </c>
      <c r="C566" s="166">
        <v>107.58268014810297</v>
      </c>
      <c r="D566" s="166">
        <v>105.05542662095111</v>
      </c>
      <c r="E566" s="166">
        <f t="shared" si="41"/>
        <v>105.05542662095111</v>
      </c>
      <c r="F566" s="188" t="str">
        <f t="shared" si="38"/>
        <v/>
      </c>
      <c r="H566" t="str">
        <f t="shared" si="40"/>
        <v/>
      </c>
      <c r="I566" s="188" t="str">
        <f t="shared" si="39"/>
        <v/>
      </c>
    </row>
    <row r="567" spans="1:9">
      <c r="A567">
        <v>564</v>
      </c>
      <c r="B567" s="46">
        <v>46008</v>
      </c>
      <c r="C567" s="166">
        <v>122.26003219056237</v>
      </c>
      <c r="D567" s="166">
        <v>105.05542662095111</v>
      </c>
      <c r="E567" s="166">
        <f t="shared" si="41"/>
        <v>105.05542662095111</v>
      </c>
      <c r="F567" s="188" t="str">
        <f t="shared" si="38"/>
        <v/>
      </c>
      <c r="H567" t="str">
        <f t="shared" si="40"/>
        <v/>
      </c>
      <c r="I567" s="188" t="str">
        <f t="shared" si="39"/>
        <v/>
      </c>
    </row>
    <row r="568" spans="1:9">
      <c r="A568">
        <v>565</v>
      </c>
      <c r="B568" s="46">
        <v>46009</v>
      </c>
      <c r="C568" s="166">
        <v>104.72153659255865</v>
      </c>
      <c r="D568" s="166">
        <v>105.05542662095111</v>
      </c>
      <c r="E568" s="166">
        <f t="shared" si="41"/>
        <v>104.72153659255865</v>
      </c>
      <c r="F568" s="188" t="str">
        <f t="shared" si="38"/>
        <v/>
      </c>
      <c r="H568" t="str">
        <f t="shared" si="40"/>
        <v/>
      </c>
      <c r="I568" s="188" t="str">
        <f t="shared" si="39"/>
        <v/>
      </c>
    </row>
    <row r="569" spans="1:9">
      <c r="A569">
        <v>566</v>
      </c>
      <c r="B569" s="46">
        <v>46010</v>
      </c>
      <c r="C569" s="166">
        <v>134.40995439756236</v>
      </c>
      <c r="D569" s="166">
        <v>105.05542662095111</v>
      </c>
      <c r="E569" s="166">
        <f t="shared" si="41"/>
        <v>105.05542662095111</v>
      </c>
      <c r="F569" s="188" t="str">
        <f t="shared" si="38"/>
        <v/>
      </c>
      <c r="H569" t="str">
        <f t="shared" si="40"/>
        <v/>
      </c>
      <c r="I569" s="188" t="str">
        <f t="shared" si="39"/>
        <v/>
      </c>
    </row>
    <row r="570" spans="1:9">
      <c r="A570">
        <v>567</v>
      </c>
      <c r="B570" s="46">
        <v>46011</v>
      </c>
      <c r="C570" s="166">
        <v>109.30248564656051</v>
      </c>
      <c r="D570" s="166">
        <v>105.05542662095111</v>
      </c>
      <c r="E570" s="166">
        <f t="shared" si="41"/>
        <v>105.05542662095111</v>
      </c>
      <c r="F570" s="188" t="str">
        <f t="shared" si="38"/>
        <v/>
      </c>
      <c r="H570" t="str">
        <f t="shared" si="40"/>
        <v/>
      </c>
      <c r="I570" s="188" t="str">
        <f t="shared" si="39"/>
        <v/>
      </c>
    </row>
    <row r="571" spans="1:9">
      <c r="A571">
        <v>568</v>
      </c>
      <c r="B571" s="46">
        <v>46012</v>
      </c>
      <c r="C571" s="166">
        <v>82.508078432562371</v>
      </c>
      <c r="D571" s="166">
        <v>105.05542662095111</v>
      </c>
      <c r="E571" s="166">
        <f t="shared" si="41"/>
        <v>82.508078432562371</v>
      </c>
      <c r="F571" s="188" t="str">
        <f t="shared" si="38"/>
        <v/>
      </c>
      <c r="H571" t="str">
        <f t="shared" si="40"/>
        <v/>
      </c>
      <c r="I571" s="188" t="str">
        <f t="shared" si="39"/>
        <v/>
      </c>
    </row>
    <row r="572" spans="1:9">
      <c r="A572">
        <v>569</v>
      </c>
      <c r="B572" s="46">
        <v>46013</v>
      </c>
      <c r="C572" s="166">
        <v>109.51970932956237</v>
      </c>
      <c r="D572" s="166">
        <v>105.05542662095111</v>
      </c>
      <c r="E572" s="166">
        <f t="shared" si="41"/>
        <v>105.05542662095111</v>
      </c>
      <c r="F572" s="188" t="str">
        <f t="shared" si="38"/>
        <v/>
      </c>
      <c r="H572" t="str">
        <f t="shared" si="40"/>
        <v/>
      </c>
      <c r="I572" s="188" t="str">
        <f t="shared" si="39"/>
        <v/>
      </c>
    </row>
    <row r="573" spans="1:9">
      <c r="A573">
        <v>570</v>
      </c>
      <c r="B573" s="46">
        <v>46014</v>
      </c>
      <c r="C573" s="166">
        <v>117.24106373756237</v>
      </c>
      <c r="D573" s="166">
        <v>105.05542662095111</v>
      </c>
      <c r="E573" s="166">
        <f t="shared" si="41"/>
        <v>105.05542662095111</v>
      </c>
      <c r="F573" s="188" t="str">
        <f t="shared" si="38"/>
        <v/>
      </c>
      <c r="H573" t="str">
        <f t="shared" si="40"/>
        <v/>
      </c>
      <c r="I573" s="188" t="str">
        <f t="shared" si="39"/>
        <v/>
      </c>
    </row>
    <row r="574" spans="1:9">
      <c r="A574">
        <v>571</v>
      </c>
      <c r="B574" s="46">
        <v>46015</v>
      </c>
      <c r="C574" s="166">
        <v>70.514531098416867</v>
      </c>
      <c r="D574" s="166">
        <v>105.05542662095111</v>
      </c>
      <c r="E574" s="166">
        <f t="shared" si="41"/>
        <v>70.514531098416867</v>
      </c>
      <c r="F574" s="188" t="str">
        <f t="shared" si="38"/>
        <v/>
      </c>
      <c r="H574" t="str">
        <f t="shared" si="40"/>
        <v/>
      </c>
      <c r="I574" s="188" t="str">
        <f t="shared" si="39"/>
        <v/>
      </c>
    </row>
    <row r="575" spans="1:9">
      <c r="A575">
        <v>572</v>
      </c>
      <c r="B575" s="46">
        <v>46016</v>
      </c>
      <c r="C575" s="166">
        <v>88.324514350420586</v>
      </c>
      <c r="D575" s="166">
        <v>105.05542662095111</v>
      </c>
      <c r="E575" s="166">
        <f t="shared" si="41"/>
        <v>88.324514350420586</v>
      </c>
      <c r="F575" s="188" t="str">
        <f t="shared" si="38"/>
        <v/>
      </c>
      <c r="H575" t="str">
        <f t="shared" si="40"/>
        <v/>
      </c>
      <c r="I575" s="188" t="str">
        <f t="shared" si="39"/>
        <v/>
      </c>
    </row>
    <row r="576" spans="1:9">
      <c r="A576">
        <v>573</v>
      </c>
      <c r="B576" s="46">
        <v>46017</v>
      </c>
      <c r="C576" s="166">
        <v>127.02526741842058</v>
      </c>
      <c r="D576" s="166">
        <v>105.05542662095111</v>
      </c>
      <c r="E576" s="166">
        <f t="shared" si="41"/>
        <v>105.05542662095111</v>
      </c>
      <c r="F576" s="188" t="str">
        <f t="shared" si="38"/>
        <v/>
      </c>
      <c r="H576" t="str">
        <f t="shared" si="40"/>
        <v/>
      </c>
      <c r="I576" s="188" t="str">
        <f t="shared" si="39"/>
        <v/>
      </c>
    </row>
    <row r="577" spans="1:9">
      <c r="A577">
        <v>574</v>
      </c>
      <c r="B577" s="46">
        <v>46018</v>
      </c>
      <c r="C577" s="166">
        <v>111.84318675841872</v>
      </c>
      <c r="D577" s="166">
        <v>105.05542662095111</v>
      </c>
      <c r="E577" s="166">
        <f t="shared" si="41"/>
        <v>105.05542662095111</v>
      </c>
      <c r="F577" s="188" t="str">
        <f t="shared" si="38"/>
        <v/>
      </c>
      <c r="H577" t="str">
        <f t="shared" si="40"/>
        <v/>
      </c>
      <c r="I577" s="188" t="str">
        <f t="shared" si="39"/>
        <v/>
      </c>
    </row>
    <row r="578" spans="1:9">
      <c r="A578">
        <v>575</v>
      </c>
      <c r="B578" s="46">
        <v>46019</v>
      </c>
      <c r="C578" s="166">
        <v>96.971489306418718</v>
      </c>
      <c r="D578" s="166">
        <v>105.05542662095111</v>
      </c>
      <c r="E578" s="166">
        <f t="shared" si="41"/>
        <v>96.971489306418718</v>
      </c>
      <c r="F578" s="188" t="str">
        <f t="shared" si="38"/>
        <v/>
      </c>
      <c r="H578" t="str">
        <f t="shared" si="40"/>
        <v/>
      </c>
      <c r="I578" s="188" t="str">
        <f t="shared" si="39"/>
        <v/>
      </c>
    </row>
    <row r="579" spans="1:9">
      <c r="A579">
        <v>576</v>
      </c>
      <c r="B579" s="46">
        <v>46020</v>
      </c>
      <c r="C579" s="166">
        <v>124.84708129042058</v>
      </c>
      <c r="D579" s="166">
        <v>105.05542662095111</v>
      </c>
      <c r="E579" s="166">
        <f t="shared" si="41"/>
        <v>105.05542662095111</v>
      </c>
      <c r="F579" s="188" t="str">
        <f t="shared" ref="F579:F642" si="42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t="str">
        <f t="shared" si="40"/>
        <v/>
      </c>
      <c r="I579" s="188" t="str">
        <f t="shared" si="39"/>
        <v/>
      </c>
    </row>
    <row r="580" spans="1:9">
      <c r="A580">
        <v>577</v>
      </c>
      <c r="B580" s="46">
        <v>46021</v>
      </c>
      <c r="C580" s="166">
        <v>119.42508281842059</v>
      </c>
      <c r="D580" s="166">
        <v>105.05542662095111</v>
      </c>
      <c r="E580" s="166">
        <f t="shared" si="41"/>
        <v>105.05542662095111</v>
      </c>
      <c r="F580" s="188" t="str">
        <f t="shared" si="42"/>
        <v/>
      </c>
      <c r="H580" t="str">
        <f t="shared" si="40"/>
        <v/>
      </c>
      <c r="I580" s="188" t="str">
        <f t="shared" ref="I580:I643" si="43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</row>
    <row r="581" spans="1:9">
      <c r="A581">
        <v>578</v>
      </c>
      <c r="B581" s="46">
        <v>46022</v>
      </c>
      <c r="C581" s="166">
        <v>79.836942209111058</v>
      </c>
      <c r="D581" s="166">
        <v>105.05542662095111</v>
      </c>
      <c r="E581" s="166">
        <f t="shared" si="41"/>
        <v>79.836942209111058</v>
      </c>
      <c r="F581" s="188" t="str">
        <f t="shared" si="42"/>
        <v/>
      </c>
      <c r="H581" t="str">
        <f t="shared" ref="H581:H644" si="44">IF(MONTH(B581)=1,IF(DAY(B581)=1,YEAR(B581),""),"")</f>
        <v/>
      </c>
      <c r="I581" s="188" t="str">
        <f t="shared" si="43"/>
        <v/>
      </c>
    </row>
    <row r="582" spans="1:9">
      <c r="A582">
        <v>579</v>
      </c>
      <c r="B582" s="46">
        <v>46023</v>
      </c>
      <c r="C582" s="166">
        <v>49.870291197114781</v>
      </c>
      <c r="D582" s="166">
        <v>122.79275785238266</v>
      </c>
      <c r="E582" s="166">
        <f t="shared" si="41"/>
        <v>49.870291197114781</v>
      </c>
      <c r="F582" s="188" t="str">
        <f t="shared" si="42"/>
        <v/>
      </c>
      <c r="H582">
        <f t="shared" si="44"/>
        <v>2026</v>
      </c>
      <c r="I582" s="188" t="str">
        <f t="shared" si="43"/>
        <v/>
      </c>
    </row>
    <row r="583" spans="1:9">
      <c r="A583">
        <v>580</v>
      </c>
      <c r="B583" s="46">
        <v>46024</v>
      </c>
      <c r="C583" s="166">
        <v>80.033253186111068</v>
      </c>
      <c r="D583" s="166">
        <v>122.79275785238266</v>
      </c>
      <c r="E583" s="166">
        <f t="shared" si="41"/>
        <v>80.033253186111068</v>
      </c>
      <c r="F583" s="188" t="str">
        <f t="shared" si="42"/>
        <v/>
      </c>
      <c r="H583" t="str">
        <f t="shared" si="44"/>
        <v/>
      </c>
      <c r="I583" s="188" t="str">
        <f t="shared" si="43"/>
        <v/>
      </c>
    </row>
    <row r="584" spans="1:9">
      <c r="A584">
        <v>581</v>
      </c>
      <c r="B584" s="46">
        <v>46025</v>
      </c>
      <c r="C584" s="166">
        <v>75.034860076112921</v>
      </c>
      <c r="D584" s="166">
        <v>122.79275785238266</v>
      </c>
      <c r="E584" s="166">
        <f t="shared" si="41"/>
        <v>75.034860076112921</v>
      </c>
      <c r="F584" s="188" t="str">
        <f t="shared" si="42"/>
        <v/>
      </c>
      <c r="H584" t="str">
        <f t="shared" si="44"/>
        <v/>
      </c>
      <c r="I584" s="188" t="str">
        <f t="shared" si="43"/>
        <v/>
      </c>
    </row>
    <row r="585" spans="1:9">
      <c r="A585">
        <v>582</v>
      </c>
      <c r="B585" s="46">
        <v>46026</v>
      </c>
      <c r="C585" s="166">
        <v>32.101209589112919</v>
      </c>
      <c r="D585" s="166">
        <v>122.79275785238266</v>
      </c>
      <c r="E585" s="166">
        <f t="shared" si="41"/>
        <v>32.101209589112919</v>
      </c>
      <c r="F585" s="188" t="str">
        <f t="shared" si="42"/>
        <v/>
      </c>
      <c r="H585" t="str">
        <f t="shared" si="44"/>
        <v/>
      </c>
      <c r="I585" s="188" t="str">
        <f t="shared" si="43"/>
        <v/>
      </c>
    </row>
    <row r="586" spans="1:9">
      <c r="A586">
        <v>583</v>
      </c>
      <c r="B586" s="46">
        <v>46027</v>
      </c>
      <c r="C586" s="166">
        <v>60.380907146111056</v>
      </c>
      <c r="D586" s="166">
        <v>122.79275785238266</v>
      </c>
      <c r="E586" s="166">
        <f t="shared" si="41"/>
        <v>60.380907146111056</v>
      </c>
      <c r="F586" s="188" t="str">
        <f t="shared" si="42"/>
        <v/>
      </c>
      <c r="H586" t="str">
        <f t="shared" si="44"/>
        <v/>
      </c>
      <c r="I586" s="188" t="str">
        <f t="shared" si="43"/>
        <v/>
      </c>
    </row>
    <row r="587" spans="1:9">
      <c r="A587">
        <v>584</v>
      </c>
      <c r="B587" s="46">
        <v>46028</v>
      </c>
      <c r="C587" s="166">
        <v>41.585444585112917</v>
      </c>
      <c r="D587" s="166">
        <v>122.79275785238266</v>
      </c>
      <c r="E587" s="166">
        <f t="shared" si="41"/>
        <v>41.585444585112917</v>
      </c>
      <c r="F587" s="188" t="str">
        <f t="shared" si="42"/>
        <v/>
      </c>
      <c r="H587" t="str">
        <f t="shared" si="44"/>
        <v/>
      </c>
      <c r="I587" s="188" t="str">
        <f t="shared" si="43"/>
        <v/>
      </c>
    </row>
    <row r="588" spans="1:9">
      <c r="A588">
        <v>585</v>
      </c>
      <c r="B588" s="46">
        <v>46029</v>
      </c>
      <c r="C588" s="166">
        <v>102.27748833755247</v>
      </c>
      <c r="D588" s="166">
        <v>122.79275785238266</v>
      </c>
      <c r="E588" s="166">
        <f t="shared" si="41"/>
        <v>102.27748833755247</v>
      </c>
      <c r="F588" s="188" t="str">
        <f t="shared" si="42"/>
        <v/>
      </c>
      <c r="H588" t="str">
        <f t="shared" si="44"/>
        <v/>
      </c>
      <c r="I588" s="188" t="str">
        <f t="shared" si="43"/>
        <v/>
      </c>
    </row>
    <row r="589" spans="1:9">
      <c r="A589">
        <v>586</v>
      </c>
      <c r="B589" s="46">
        <v>46030</v>
      </c>
      <c r="C589" s="166">
        <v>93.32257986254875</v>
      </c>
      <c r="D589" s="166">
        <v>122.79275785238266</v>
      </c>
      <c r="E589" s="166">
        <f t="shared" si="41"/>
        <v>93.32257986254875</v>
      </c>
      <c r="F589" s="188" t="str">
        <f t="shared" si="42"/>
        <v/>
      </c>
      <c r="H589" t="str">
        <f t="shared" si="44"/>
        <v/>
      </c>
      <c r="I589" s="188" t="str">
        <f t="shared" si="43"/>
        <v/>
      </c>
    </row>
    <row r="590" spans="1:9">
      <c r="A590">
        <v>587</v>
      </c>
      <c r="B590" s="46">
        <v>46031</v>
      </c>
      <c r="C590" s="166">
        <v>51.194949078552469</v>
      </c>
      <c r="D590" s="166">
        <v>122.79275785238266</v>
      </c>
      <c r="E590" s="166">
        <f t="shared" si="41"/>
        <v>51.194949078552469</v>
      </c>
      <c r="F590" s="188" t="str">
        <f t="shared" si="42"/>
        <v/>
      </c>
      <c r="H590" t="str">
        <f t="shared" si="44"/>
        <v/>
      </c>
      <c r="I590" s="188" t="str">
        <f t="shared" si="43"/>
        <v/>
      </c>
    </row>
    <row r="591" spans="1:9">
      <c r="A591">
        <v>588</v>
      </c>
      <c r="B591" s="46">
        <v>46032</v>
      </c>
      <c r="C591" s="166">
        <v>62.69774962254688</v>
      </c>
      <c r="D591" s="166">
        <v>122.79275785238266</v>
      </c>
      <c r="E591" s="166">
        <f t="shared" ref="E591:E654" si="45">IF(C591&lt;D591,C591,D591)</f>
        <v>62.69774962254688</v>
      </c>
      <c r="F591" s="188" t="str">
        <f t="shared" si="42"/>
        <v/>
      </c>
      <c r="H591" t="str">
        <f t="shared" si="44"/>
        <v/>
      </c>
      <c r="I591" s="188" t="str">
        <f t="shared" si="43"/>
        <v/>
      </c>
    </row>
    <row r="592" spans="1:9">
      <c r="A592">
        <v>589</v>
      </c>
      <c r="B592" s="46">
        <v>46033</v>
      </c>
      <c r="C592" s="166">
        <v>70.225215734552478</v>
      </c>
      <c r="D592" s="166">
        <v>122.79275785238266</v>
      </c>
      <c r="E592" s="166">
        <f t="shared" si="45"/>
        <v>70.225215734552478</v>
      </c>
      <c r="F592" s="188" t="str">
        <f t="shared" si="42"/>
        <v/>
      </c>
      <c r="H592" t="str">
        <f t="shared" si="44"/>
        <v/>
      </c>
      <c r="I592" s="188" t="str">
        <f t="shared" si="43"/>
        <v/>
      </c>
    </row>
    <row r="593" spans="1:9">
      <c r="A593">
        <v>590</v>
      </c>
      <c r="B593" s="46">
        <v>46034</v>
      </c>
      <c r="C593" s="166">
        <v>88.13688702655061</v>
      </c>
      <c r="D593" s="166">
        <v>122.79275785238266</v>
      </c>
      <c r="E593" s="166">
        <f t="shared" si="45"/>
        <v>88.13688702655061</v>
      </c>
      <c r="F593" s="188" t="str">
        <f t="shared" si="42"/>
        <v/>
      </c>
      <c r="H593" t="str">
        <f t="shared" si="44"/>
        <v/>
      </c>
      <c r="I593" s="188" t="str">
        <f t="shared" si="43"/>
        <v/>
      </c>
    </row>
    <row r="594" spans="1:9">
      <c r="A594">
        <v>591</v>
      </c>
      <c r="B594" s="46">
        <v>46035</v>
      </c>
      <c r="C594" s="166">
        <v>112.95177166655061</v>
      </c>
      <c r="D594" s="166">
        <v>122.79275785238266</v>
      </c>
      <c r="E594" s="166">
        <f t="shared" si="45"/>
        <v>112.95177166655061</v>
      </c>
      <c r="F594" s="188" t="str">
        <f t="shared" si="42"/>
        <v/>
      </c>
      <c r="H594" t="str">
        <f t="shared" si="44"/>
        <v/>
      </c>
      <c r="I594" s="188" t="str">
        <f t="shared" si="43"/>
        <v/>
      </c>
    </row>
    <row r="595" spans="1:9">
      <c r="A595">
        <v>592</v>
      </c>
      <c r="B595" s="46">
        <v>46036</v>
      </c>
      <c r="C595" s="166">
        <v>126.12410806662145</v>
      </c>
      <c r="D595" s="166">
        <v>122.79275785238266</v>
      </c>
      <c r="E595" s="166">
        <f t="shared" si="45"/>
        <v>122.79275785238266</v>
      </c>
      <c r="F595" s="188" t="str">
        <f t="shared" si="42"/>
        <v/>
      </c>
      <c r="G595" s="189" t="str">
        <f>IF(DAY(B595)=15,D595,"")</f>
        <v/>
      </c>
      <c r="H595" t="str">
        <f t="shared" si="44"/>
        <v/>
      </c>
      <c r="I595" s="188" t="str">
        <f t="shared" si="43"/>
        <v/>
      </c>
    </row>
    <row r="596" spans="1:9">
      <c r="A596">
        <v>593</v>
      </c>
      <c r="B596" s="46">
        <v>46037</v>
      </c>
      <c r="C596" s="166">
        <v>97.014344129623311</v>
      </c>
      <c r="D596" s="166">
        <v>122.79275785238266</v>
      </c>
      <c r="E596" s="166">
        <f t="shared" si="45"/>
        <v>97.014344129623311</v>
      </c>
      <c r="F596" s="188" t="str">
        <f t="shared" si="42"/>
        <v>E</v>
      </c>
      <c r="H596" t="str">
        <f t="shared" si="44"/>
        <v/>
      </c>
      <c r="I596" s="188" t="str">
        <f t="shared" si="43"/>
        <v>E</v>
      </c>
    </row>
    <row r="597" spans="1:9">
      <c r="A597">
        <v>594</v>
      </c>
      <c r="B597" s="46">
        <v>46038</v>
      </c>
      <c r="C597" s="166">
        <v>116.28581086862145</v>
      </c>
      <c r="D597" s="166">
        <v>122.79275785238266</v>
      </c>
      <c r="E597" s="166">
        <f t="shared" si="45"/>
        <v>116.28581086862145</v>
      </c>
      <c r="F597" s="188" t="str">
        <f t="shared" si="42"/>
        <v/>
      </c>
      <c r="H597" t="str">
        <f t="shared" si="44"/>
        <v/>
      </c>
      <c r="I597" s="188" t="str">
        <f t="shared" si="43"/>
        <v/>
      </c>
    </row>
    <row r="598" spans="1:9">
      <c r="A598">
        <v>595</v>
      </c>
      <c r="B598" s="46">
        <v>46039</v>
      </c>
      <c r="C598" s="166">
        <v>114.88151747762332</v>
      </c>
      <c r="D598" s="166">
        <v>122.79275785238266</v>
      </c>
      <c r="E598" s="166">
        <f t="shared" si="45"/>
        <v>114.88151747762332</v>
      </c>
      <c r="F598" s="188" t="str">
        <f t="shared" si="42"/>
        <v/>
      </c>
      <c r="H598" t="str">
        <f t="shared" si="44"/>
        <v/>
      </c>
      <c r="I598" s="188" t="str">
        <f t="shared" si="43"/>
        <v/>
      </c>
    </row>
    <row r="599" spans="1:9">
      <c r="A599">
        <v>596</v>
      </c>
      <c r="B599" s="46">
        <v>46040</v>
      </c>
      <c r="C599" s="166">
        <v>99.930858625623316</v>
      </c>
      <c r="D599" s="166">
        <v>122.79275785238266</v>
      </c>
      <c r="E599" s="166">
        <f t="shared" si="45"/>
        <v>99.930858625623316</v>
      </c>
      <c r="F599" s="188" t="str">
        <f t="shared" si="42"/>
        <v/>
      </c>
      <c r="H599" t="str">
        <f t="shared" si="44"/>
        <v/>
      </c>
      <c r="I599" s="188" t="str">
        <f t="shared" si="43"/>
        <v/>
      </c>
    </row>
    <row r="600" spans="1:9">
      <c r="A600">
        <v>597</v>
      </c>
      <c r="B600" s="46">
        <v>46041</v>
      </c>
      <c r="C600" s="166">
        <v>115.47489228162145</v>
      </c>
      <c r="D600" s="166">
        <v>122.79275785238266</v>
      </c>
      <c r="E600" s="166">
        <f t="shared" si="45"/>
        <v>115.47489228162145</v>
      </c>
      <c r="F600" s="188" t="str">
        <f t="shared" si="42"/>
        <v/>
      </c>
      <c r="H600" t="str">
        <f t="shared" si="44"/>
        <v/>
      </c>
      <c r="I600" s="188" t="str">
        <f t="shared" si="43"/>
        <v/>
      </c>
    </row>
    <row r="601" spans="1:9">
      <c r="A601">
        <v>598</v>
      </c>
      <c r="B601" s="46">
        <v>46042</v>
      </c>
      <c r="C601" s="166">
        <v>112.43340331362332</v>
      </c>
      <c r="D601" s="166">
        <v>122.79275785238266</v>
      </c>
      <c r="E601" s="166">
        <f t="shared" si="45"/>
        <v>112.43340331362332</v>
      </c>
      <c r="F601" s="188" t="str">
        <f t="shared" si="42"/>
        <v/>
      </c>
      <c r="H601" t="str">
        <f t="shared" si="44"/>
        <v/>
      </c>
      <c r="I601" s="188" t="str">
        <f t="shared" si="43"/>
        <v/>
      </c>
    </row>
    <row r="602" spans="1:9">
      <c r="A602">
        <v>599</v>
      </c>
      <c r="B602" s="46">
        <v>46043</v>
      </c>
      <c r="C602" s="166">
        <v>154.98277861356513</v>
      </c>
      <c r="D602" s="166">
        <v>122.79275785238266</v>
      </c>
      <c r="E602" s="166">
        <f t="shared" si="45"/>
        <v>122.79275785238266</v>
      </c>
      <c r="F602" s="188" t="str">
        <f t="shared" si="42"/>
        <v/>
      </c>
      <c r="H602" t="str">
        <f t="shared" si="44"/>
        <v/>
      </c>
      <c r="I602" s="188" t="str">
        <f t="shared" si="43"/>
        <v/>
      </c>
    </row>
    <row r="603" spans="1:9">
      <c r="A603">
        <v>600</v>
      </c>
      <c r="B603" s="46">
        <v>46044</v>
      </c>
      <c r="C603" s="166">
        <v>139.20819501356701</v>
      </c>
      <c r="D603" s="166">
        <v>122.79275785238266</v>
      </c>
      <c r="E603" s="166">
        <f t="shared" si="45"/>
        <v>122.79275785238266</v>
      </c>
      <c r="F603" s="188" t="str">
        <f t="shared" si="42"/>
        <v/>
      </c>
      <c r="H603" t="str">
        <f t="shared" si="44"/>
        <v/>
      </c>
      <c r="I603" s="188" t="str">
        <f t="shared" si="43"/>
        <v/>
      </c>
    </row>
    <row r="604" spans="1:9">
      <c r="A604">
        <v>601</v>
      </c>
      <c r="B604" s="46">
        <v>46045</v>
      </c>
      <c r="C604" s="166">
        <v>144.47434795756516</v>
      </c>
      <c r="D604" s="166">
        <v>122.79275785238266</v>
      </c>
      <c r="E604" s="166">
        <f t="shared" si="45"/>
        <v>122.79275785238266</v>
      </c>
      <c r="F604" s="188" t="str">
        <f t="shared" si="42"/>
        <v/>
      </c>
      <c r="H604" t="str">
        <f t="shared" si="44"/>
        <v/>
      </c>
      <c r="I604" s="188" t="str">
        <f t="shared" si="43"/>
        <v/>
      </c>
    </row>
    <row r="605" spans="1:9">
      <c r="A605">
        <v>602</v>
      </c>
      <c r="B605" s="46">
        <v>46046</v>
      </c>
      <c r="C605" s="166">
        <v>132.12615336156514</v>
      </c>
      <c r="D605" s="166">
        <v>122.79275785238266</v>
      </c>
      <c r="E605" s="166">
        <f t="shared" si="45"/>
        <v>122.79275785238266</v>
      </c>
      <c r="F605" s="188" t="str">
        <f t="shared" si="42"/>
        <v/>
      </c>
      <c r="H605" t="str">
        <f t="shared" si="44"/>
        <v/>
      </c>
      <c r="I605" s="188" t="str">
        <f t="shared" si="43"/>
        <v/>
      </c>
    </row>
    <row r="606" spans="1:9">
      <c r="A606">
        <v>603</v>
      </c>
      <c r="B606" s="46">
        <v>46047</v>
      </c>
      <c r="C606" s="166">
        <v>112.54498642556703</v>
      </c>
      <c r="D606" s="166">
        <v>122.79275785238266</v>
      </c>
      <c r="E606" s="166">
        <f t="shared" si="45"/>
        <v>112.54498642556703</v>
      </c>
      <c r="F606" s="188" t="str">
        <f t="shared" si="42"/>
        <v/>
      </c>
      <c r="H606" t="str">
        <f t="shared" si="44"/>
        <v/>
      </c>
      <c r="I606" s="188" t="str">
        <f t="shared" si="43"/>
        <v/>
      </c>
    </row>
    <row r="607" spans="1:9">
      <c r="A607">
        <v>604</v>
      </c>
      <c r="B607" s="46">
        <v>46048</v>
      </c>
      <c r="C607" s="166">
        <v>142.68211148156516</v>
      </c>
      <c r="D607" s="166">
        <v>122.79275785238266</v>
      </c>
      <c r="E607" s="166">
        <f t="shared" si="45"/>
        <v>122.79275785238266</v>
      </c>
      <c r="F607" s="188" t="str">
        <f t="shared" si="42"/>
        <v/>
      </c>
      <c r="H607" t="str">
        <f t="shared" si="44"/>
        <v/>
      </c>
      <c r="I607" s="188" t="str">
        <f t="shared" si="43"/>
        <v/>
      </c>
    </row>
    <row r="608" spans="1:9">
      <c r="A608">
        <v>605</v>
      </c>
      <c r="B608" s="46">
        <v>46049</v>
      </c>
      <c r="C608" s="166">
        <v>156.63951282956702</v>
      </c>
      <c r="D608" s="166">
        <v>122.79275785238266</v>
      </c>
      <c r="E608" s="166">
        <f t="shared" si="45"/>
        <v>122.79275785238266</v>
      </c>
      <c r="F608" s="188" t="str">
        <f t="shared" si="42"/>
        <v/>
      </c>
      <c r="H608" t="str">
        <f t="shared" si="44"/>
        <v/>
      </c>
      <c r="I608" s="188" t="str">
        <f t="shared" si="43"/>
        <v/>
      </c>
    </row>
    <row r="609" spans="1:9">
      <c r="A609">
        <v>606</v>
      </c>
      <c r="B609" s="46">
        <v>46050</v>
      </c>
      <c r="C609" s="166">
        <v>388.63791610607797</v>
      </c>
      <c r="D609" s="166">
        <v>122.79275785238266</v>
      </c>
      <c r="E609" s="166">
        <f t="shared" si="45"/>
        <v>122.79275785238266</v>
      </c>
      <c r="F609" s="188" t="str">
        <f t="shared" si="42"/>
        <v/>
      </c>
      <c r="H609" t="str">
        <f t="shared" si="44"/>
        <v/>
      </c>
      <c r="I609" s="188" t="str">
        <f t="shared" si="43"/>
        <v/>
      </c>
    </row>
    <row r="610" spans="1:9">
      <c r="A610">
        <v>607</v>
      </c>
      <c r="B610" s="46">
        <v>46051</v>
      </c>
      <c r="C610" s="166">
        <v>383.58711033807424</v>
      </c>
      <c r="D610" s="166">
        <v>122.79275785238266</v>
      </c>
      <c r="E610" s="166">
        <f t="shared" si="45"/>
        <v>122.79275785238266</v>
      </c>
      <c r="F610" s="188" t="str">
        <f t="shared" si="42"/>
        <v/>
      </c>
      <c r="H610" t="str">
        <f t="shared" si="44"/>
        <v/>
      </c>
      <c r="I610" s="188" t="str">
        <f t="shared" si="43"/>
        <v/>
      </c>
    </row>
    <row r="611" spans="1:9">
      <c r="A611">
        <v>608</v>
      </c>
      <c r="B611" s="46">
        <v>46052</v>
      </c>
      <c r="C611" s="166">
        <v>386.74552716207796</v>
      </c>
      <c r="D611" s="166">
        <v>122.79275785238266</v>
      </c>
      <c r="E611" s="166">
        <f t="shared" si="45"/>
        <v>122.79275785238266</v>
      </c>
      <c r="F611" s="188" t="str">
        <f t="shared" si="42"/>
        <v/>
      </c>
      <c r="H611" t="str">
        <f t="shared" si="44"/>
        <v/>
      </c>
      <c r="I611" s="188" t="str">
        <f t="shared" si="43"/>
        <v/>
      </c>
    </row>
    <row r="612" spans="1:9">
      <c r="A612">
        <v>609</v>
      </c>
      <c r="B612" s="46">
        <v>46053</v>
      </c>
      <c r="C612" s="166">
        <v>398.55839159107796</v>
      </c>
      <c r="D612" s="166">
        <v>122.79275785238266</v>
      </c>
      <c r="E612" s="166">
        <f t="shared" si="45"/>
        <v>122.79275785238266</v>
      </c>
      <c r="F612" s="188" t="str">
        <f t="shared" si="42"/>
        <v/>
      </c>
      <c r="H612" t="str">
        <f t="shared" si="44"/>
        <v/>
      </c>
      <c r="I612" s="188" t="str">
        <f t="shared" si="43"/>
        <v/>
      </c>
    </row>
    <row r="613" spans="1:9">
      <c r="A613">
        <v>610</v>
      </c>
      <c r="B613" s="46">
        <v>46054</v>
      </c>
      <c r="C613" s="166">
        <v>404.86547333707608</v>
      </c>
      <c r="D613" s="166">
        <v>130.24536147210011</v>
      </c>
      <c r="E613" s="166">
        <f t="shared" si="45"/>
        <v>130.24536147210011</v>
      </c>
      <c r="F613" s="188" t="str">
        <f t="shared" si="42"/>
        <v/>
      </c>
      <c r="H613" t="str">
        <f t="shared" si="44"/>
        <v/>
      </c>
      <c r="I613" s="188" t="str">
        <f t="shared" si="43"/>
        <v/>
      </c>
    </row>
    <row r="614" spans="1:9">
      <c r="A614">
        <v>611</v>
      </c>
      <c r="B614" s="46">
        <v>46055</v>
      </c>
      <c r="C614" s="166">
        <v>415.58760048207608</v>
      </c>
      <c r="D614" s="166">
        <v>130.24536147210011</v>
      </c>
      <c r="E614" s="166">
        <f t="shared" si="45"/>
        <v>130.24536147210011</v>
      </c>
      <c r="F614" s="188" t="str">
        <f t="shared" si="42"/>
        <v/>
      </c>
      <c r="H614" t="str">
        <f t="shared" si="44"/>
        <v/>
      </c>
      <c r="I614" s="188" t="str">
        <f t="shared" si="43"/>
        <v/>
      </c>
    </row>
    <row r="615" spans="1:9">
      <c r="A615">
        <v>612</v>
      </c>
      <c r="B615" s="46">
        <v>46056</v>
      </c>
      <c r="C615" s="166">
        <v>439.19877941807795</v>
      </c>
      <c r="D615" s="166">
        <v>130.24536147210011</v>
      </c>
      <c r="E615" s="166">
        <f t="shared" si="45"/>
        <v>130.24536147210011</v>
      </c>
      <c r="F615" s="188" t="str">
        <f t="shared" si="42"/>
        <v/>
      </c>
      <c r="H615" t="str">
        <f t="shared" si="44"/>
        <v/>
      </c>
      <c r="I615" s="188" t="str">
        <f t="shared" si="43"/>
        <v/>
      </c>
    </row>
    <row r="616" spans="1:9">
      <c r="A616">
        <v>613</v>
      </c>
      <c r="B616" s="46">
        <v>46057</v>
      </c>
      <c r="C616" s="166">
        <v>478.12247028103729</v>
      </c>
      <c r="D616" s="166">
        <v>130.24536147210011</v>
      </c>
      <c r="E616" s="166">
        <f t="shared" si="45"/>
        <v>130.24536147210011</v>
      </c>
      <c r="F616" s="188" t="str">
        <f t="shared" si="42"/>
        <v/>
      </c>
      <c r="H616" t="str">
        <f t="shared" si="44"/>
        <v/>
      </c>
      <c r="I616" s="188" t="str">
        <f t="shared" si="43"/>
        <v/>
      </c>
    </row>
    <row r="617" spans="1:9">
      <c r="A617">
        <v>614</v>
      </c>
      <c r="B617" s="46">
        <v>46058</v>
      </c>
      <c r="C617" s="166">
        <v>483.39475027304098</v>
      </c>
      <c r="D617" s="166">
        <v>130.24536147210011</v>
      </c>
      <c r="E617" s="166">
        <f t="shared" si="45"/>
        <v>130.24536147210011</v>
      </c>
      <c r="F617" s="188" t="str">
        <f t="shared" si="42"/>
        <v/>
      </c>
      <c r="H617" t="str">
        <f t="shared" si="44"/>
        <v/>
      </c>
      <c r="I617" s="188" t="str">
        <f t="shared" si="43"/>
        <v/>
      </c>
    </row>
    <row r="618" spans="1:9">
      <c r="A618">
        <v>615</v>
      </c>
      <c r="B618" s="46">
        <v>46059</v>
      </c>
      <c r="C618" s="166">
        <v>483.87470685103915</v>
      </c>
      <c r="D618" s="166">
        <v>130.24536147210011</v>
      </c>
      <c r="E618" s="166">
        <f t="shared" si="45"/>
        <v>130.24536147210011</v>
      </c>
      <c r="F618" s="188" t="str">
        <f t="shared" si="42"/>
        <v/>
      </c>
      <c r="H618" t="str">
        <f t="shared" si="44"/>
        <v/>
      </c>
      <c r="I618" s="188" t="str">
        <f t="shared" si="43"/>
        <v/>
      </c>
    </row>
    <row r="619" spans="1:9">
      <c r="A619">
        <v>616</v>
      </c>
      <c r="B619" s="46">
        <v>46060</v>
      </c>
      <c r="C619" s="166">
        <v>493.55933911303913</v>
      </c>
      <c r="D619" s="166">
        <v>130.24536147210011</v>
      </c>
      <c r="E619" s="166">
        <f t="shared" si="45"/>
        <v>130.24536147210011</v>
      </c>
      <c r="F619" s="188" t="str">
        <f t="shared" si="42"/>
        <v/>
      </c>
      <c r="H619" t="str">
        <f t="shared" si="44"/>
        <v/>
      </c>
      <c r="I619" s="188" t="str">
        <f t="shared" si="43"/>
        <v/>
      </c>
    </row>
    <row r="620" spans="1:9">
      <c r="A620">
        <v>617</v>
      </c>
      <c r="B620" s="46">
        <v>46061</v>
      </c>
      <c r="C620" s="166">
        <v>487.75418263304101</v>
      </c>
      <c r="D620" s="166">
        <v>130.24536147210011</v>
      </c>
      <c r="E620" s="166">
        <f t="shared" si="45"/>
        <v>130.24536147210011</v>
      </c>
      <c r="F620" s="188" t="str">
        <f t="shared" si="42"/>
        <v/>
      </c>
      <c r="H620" t="str">
        <f t="shared" si="44"/>
        <v/>
      </c>
      <c r="I620" s="188" t="str">
        <f t="shared" si="43"/>
        <v/>
      </c>
    </row>
    <row r="621" spans="1:9">
      <c r="A621">
        <v>618</v>
      </c>
      <c r="B621" s="46">
        <v>46062</v>
      </c>
      <c r="C621" s="166">
        <v>483.83391857304099</v>
      </c>
      <c r="D621" s="166">
        <v>130.24536147210011</v>
      </c>
      <c r="E621" s="166">
        <f t="shared" si="45"/>
        <v>130.24536147210011</v>
      </c>
      <c r="F621" s="188" t="str">
        <f t="shared" si="42"/>
        <v/>
      </c>
      <c r="H621" t="str">
        <f t="shared" si="44"/>
        <v/>
      </c>
      <c r="I621" s="188" t="str">
        <f t="shared" si="43"/>
        <v/>
      </c>
    </row>
    <row r="622" spans="1:9">
      <c r="A622">
        <v>619</v>
      </c>
      <c r="B622" s="46">
        <v>46063</v>
      </c>
      <c r="C622" s="166">
        <v>461.58199978903912</v>
      </c>
      <c r="D622" s="166">
        <v>130.24536147210011</v>
      </c>
      <c r="E622" s="166">
        <f t="shared" si="45"/>
        <v>130.24536147210011</v>
      </c>
      <c r="F622" s="188" t="str">
        <f t="shared" si="42"/>
        <v/>
      </c>
      <c r="H622" t="str">
        <f t="shared" si="44"/>
        <v/>
      </c>
      <c r="I622" s="188" t="str">
        <f t="shared" si="43"/>
        <v/>
      </c>
    </row>
    <row r="623" spans="1:9">
      <c r="A623">
        <v>620</v>
      </c>
      <c r="B623" s="46">
        <v>46064</v>
      </c>
      <c r="C623" s="166">
        <v>334.56652755386722</v>
      </c>
      <c r="D623" s="166">
        <v>130.24536147210011</v>
      </c>
      <c r="E623" s="166">
        <f t="shared" si="45"/>
        <v>130.24536147210011</v>
      </c>
      <c r="F623" s="188" t="str">
        <f t="shared" si="42"/>
        <v/>
      </c>
      <c r="H623" t="str">
        <f t="shared" si="44"/>
        <v/>
      </c>
      <c r="I623" s="188" t="str">
        <f t="shared" si="43"/>
        <v/>
      </c>
    </row>
    <row r="624" spans="1:9">
      <c r="A624">
        <v>621</v>
      </c>
      <c r="B624" s="46">
        <v>46065</v>
      </c>
      <c r="C624" s="166">
        <v>329.09526858186723</v>
      </c>
      <c r="D624" s="166">
        <v>130.24536147210011</v>
      </c>
      <c r="E624" s="166">
        <f t="shared" si="45"/>
        <v>130.24536147210011</v>
      </c>
      <c r="F624" s="188" t="str">
        <f t="shared" si="42"/>
        <v/>
      </c>
      <c r="H624" t="str">
        <f t="shared" si="44"/>
        <v/>
      </c>
      <c r="I624" s="188" t="str">
        <f t="shared" si="43"/>
        <v/>
      </c>
    </row>
    <row r="625" spans="1:9">
      <c r="A625">
        <v>622</v>
      </c>
      <c r="B625" s="46">
        <v>46066</v>
      </c>
      <c r="C625" s="166">
        <v>331.14615158186723</v>
      </c>
      <c r="D625" s="166">
        <v>130.24536147210011</v>
      </c>
      <c r="E625" s="166">
        <f t="shared" si="45"/>
        <v>130.24536147210011</v>
      </c>
      <c r="F625" s="188" t="str">
        <f t="shared" si="42"/>
        <v/>
      </c>
      <c r="H625" t="str">
        <f t="shared" si="44"/>
        <v/>
      </c>
      <c r="I625" s="188" t="str">
        <f t="shared" si="43"/>
        <v/>
      </c>
    </row>
    <row r="626" spans="1:9">
      <c r="A626">
        <v>623</v>
      </c>
      <c r="B626" s="46">
        <v>46067</v>
      </c>
      <c r="C626" s="166">
        <v>316.04521436186911</v>
      </c>
      <c r="D626" s="166">
        <v>130.24536147210011</v>
      </c>
      <c r="E626" s="166">
        <f t="shared" si="45"/>
        <v>130.24536147210011</v>
      </c>
      <c r="F626" s="188" t="str">
        <f t="shared" si="42"/>
        <v/>
      </c>
      <c r="G626" s="189" t="str">
        <f>IF(DAY(B626)=15,D626,"")</f>
        <v/>
      </c>
      <c r="H626" t="str">
        <f t="shared" si="44"/>
        <v/>
      </c>
      <c r="I626" s="188" t="str">
        <f t="shared" si="43"/>
        <v/>
      </c>
    </row>
    <row r="627" spans="1:9">
      <c r="A627">
        <v>624</v>
      </c>
      <c r="B627" s="46">
        <v>46068</v>
      </c>
      <c r="C627" s="166">
        <v>302.0108892018672</v>
      </c>
      <c r="D627" s="166">
        <v>130.24536147210011</v>
      </c>
      <c r="E627" s="166">
        <f t="shared" si="45"/>
        <v>130.24536147210011</v>
      </c>
      <c r="F627" s="188" t="str">
        <f t="shared" si="42"/>
        <v>F</v>
      </c>
      <c r="H627" t="str">
        <f t="shared" si="44"/>
        <v/>
      </c>
      <c r="I627" s="188" t="str">
        <f t="shared" si="43"/>
        <v>F</v>
      </c>
    </row>
    <row r="628" spans="1:9">
      <c r="A628">
        <v>625</v>
      </c>
      <c r="B628" s="46">
        <v>46069</v>
      </c>
      <c r="C628" s="166">
        <v>310.09547972586722</v>
      </c>
      <c r="D628" s="166">
        <v>130.24536147210011</v>
      </c>
      <c r="E628" s="166">
        <f t="shared" si="45"/>
        <v>130.24536147210011</v>
      </c>
      <c r="F628" s="188" t="str">
        <f t="shared" si="42"/>
        <v/>
      </c>
      <c r="H628" t="str">
        <f t="shared" si="44"/>
        <v/>
      </c>
      <c r="I628" s="188" t="str">
        <f t="shared" si="43"/>
        <v/>
      </c>
    </row>
    <row r="629" spans="1:9">
      <c r="A629">
        <v>626</v>
      </c>
      <c r="B629" s="46">
        <v>46070</v>
      </c>
      <c r="C629" s="166">
        <v>347.49914172986536</v>
      </c>
      <c r="D629" s="166">
        <v>130.24536147210011</v>
      </c>
      <c r="E629" s="166">
        <f t="shared" si="45"/>
        <v>130.24536147210011</v>
      </c>
      <c r="F629" s="188" t="str">
        <f t="shared" si="42"/>
        <v/>
      </c>
      <c r="H629" t="str">
        <f t="shared" si="44"/>
        <v/>
      </c>
      <c r="I629" s="188" t="str">
        <f t="shared" si="43"/>
        <v/>
      </c>
    </row>
    <row r="630" spans="1:9">
      <c r="A630">
        <v>627</v>
      </c>
      <c r="B630" s="46">
        <v>46071</v>
      </c>
      <c r="C630" s="166">
        <v>213.55671802123098</v>
      </c>
      <c r="D630" s="166">
        <v>130.24536147210011</v>
      </c>
      <c r="E630" s="166">
        <f t="shared" si="45"/>
        <v>130.24536147210011</v>
      </c>
      <c r="F630" s="188" t="str">
        <f t="shared" si="42"/>
        <v/>
      </c>
      <c r="H630" t="str">
        <f t="shared" si="44"/>
        <v/>
      </c>
      <c r="I630" s="188" t="str">
        <f t="shared" si="43"/>
        <v/>
      </c>
    </row>
    <row r="631" spans="1:9">
      <c r="A631">
        <v>628</v>
      </c>
      <c r="B631" s="46">
        <v>46072</v>
      </c>
      <c r="C631" s="166">
        <v>202.2783359012254</v>
      </c>
      <c r="D631" s="166">
        <v>130.24536147210011</v>
      </c>
      <c r="E631" s="166">
        <f t="shared" si="45"/>
        <v>130.24536147210011</v>
      </c>
      <c r="F631" s="188" t="str">
        <f t="shared" si="42"/>
        <v/>
      </c>
      <c r="H631" t="str">
        <f t="shared" si="44"/>
        <v/>
      </c>
      <c r="I631" s="188" t="str">
        <f t="shared" si="43"/>
        <v/>
      </c>
    </row>
    <row r="632" spans="1:9">
      <c r="A632">
        <v>629</v>
      </c>
      <c r="B632" s="46">
        <v>46073</v>
      </c>
      <c r="C632" s="166">
        <v>223.62440670523097</v>
      </c>
      <c r="D632" s="166">
        <v>130.24536147210011</v>
      </c>
      <c r="E632" s="166">
        <f t="shared" si="45"/>
        <v>130.24536147210011</v>
      </c>
      <c r="F632" s="188" t="str">
        <f t="shared" si="42"/>
        <v/>
      </c>
      <c r="H632" t="str">
        <f t="shared" si="44"/>
        <v/>
      </c>
      <c r="I632" s="188" t="str">
        <f t="shared" si="43"/>
        <v/>
      </c>
    </row>
    <row r="633" spans="1:9">
      <c r="A633">
        <v>630</v>
      </c>
      <c r="B633" s="46">
        <v>46074</v>
      </c>
      <c r="C633" s="166">
        <v>226.71188082922725</v>
      </c>
      <c r="D633" s="166">
        <v>130.24536147210011</v>
      </c>
      <c r="E633" s="166">
        <f t="shared" si="45"/>
        <v>130.24536147210011</v>
      </c>
      <c r="F633" s="188" t="str">
        <f t="shared" si="42"/>
        <v/>
      </c>
      <c r="H633" t="str">
        <f t="shared" si="44"/>
        <v/>
      </c>
      <c r="I633" s="188" t="str">
        <f t="shared" si="43"/>
        <v/>
      </c>
    </row>
    <row r="634" spans="1:9">
      <c r="A634">
        <v>631</v>
      </c>
      <c r="B634" s="46">
        <v>46075</v>
      </c>
      <c r="C634" s="166">
        <v>211.06745927322913</v>
      </c>
      <c r="D634" s="166">
        <v>130.24536147210011</v>
      </c>
      <c r="E634" s="166">
        <f t="shared" si="45"/>
        <v>130.24536147210011</v>
      </c>
      <c r="F634" s="188" t="str">
        <f t="shared" si="42"/>
        <v/>
      </c>
      <c r="H634" t="str">
        <f t="shared" si="44"/>
        <v/>
      </c>
      <c r="I634" s="188" t="str">
        <f t="shared" si="43"/>
        <v/>
      </c>
    </row>
    <row r="635" spans="1:9">
      <c r="A635">
        <v>632</v>
      </c>
      <c r="B635" s="46">
        <v>46076</v>
      </c>
      <c r="C635" s="166">
        <v>226.81836729723099</v>
      </c>
      <c r="D635" s="166">
        <v>130.24536147210011</v>
      </c>
      <c r="E635" s="166">
        <f t="shared" si="45"/>
        <v>130.24536147210011</v>
      </c>
      <c r="F635" s="188" t="str">
        <f t="shared" si="42"/>
        <v/>
      </c>
      <c r="H635" t="str">
        <f t="shared" si="44"/>
        <v/>
      </c>
      <c r="I635" s="188" t="str">
        <f t="shared" si="43"/>
        <v/>
      </c>
    </row>
    <row r="636" spans="1:9">
      <c r="A636">
        <v>633</v>
      </c>
      <c r="B636" s="46">
        <v>46077</v>
      </c>
      <c r="C636" s="166">
        <v>231.51146561722538</v>
      </c>
      <c r="D636" s="166">
        <v>130.24536147210011</v>
      </c>
      <c r="E636" s="166">
        <f t="shared" si="45"/>
        <v>130.24536147210011</v>
      </c>
      <c r="F636" s="188" t="str">
        <f t="shared" si="42"/>
        <v/>
      </c>
      <c r="H636" t="str">
        <f t="shared" si="44"/>
        <v/>
      </c>
      <c r="I636" s="188" t="str">
        <f t="shared" si="43"/>
        <v/>
      </c>
    </row>
    <row r="637" spans="1:9">
      <c r="A637">
        <v>634</v>
      </c>
      <c r="B637" s="46">
        <v>46078</v>
      </c>
      <c r="C637" s="166">
        <v>175.27242705891157</v>
      </c>
      <c r="D637" s="166">
        <v>130.24536147210011</v>
      </c>
      <c r="E637" s="166">
        <f t="shared" si="45"/>
        <v>130.24536147210011</v>
      </c>
      <c r="F637" s="188" t="str">
        <f t="shared" si="42"/>
        <v/>
      </c>
      <c r="H637" t="str">
        <f t="shared" si="44"/>
        <v/>
      </c>
      <c r="I637" s="188" t="str">
        <f t="shared" si="43"/>
        <v/>
      </c>
    </row>
    <row r="638" spans="1:9">
      <c r="A638">
        <v>635</v>
      </c>
      <c r="B638" s="46">
        <v>46079</v>
      </c>
      <c r="C638" s="166">
        <v>159.85450787991158</v>
      </c>
      <c r="D638" s="166">
        <v>130.24536147210011</v>
      </c>
      <c r="E638" s="166">
        <f t="shared" si="45"/>
        <v>130.24536147210011</v>
      </c>
      <c r="F638" s="188" t="str">
        <f t="shared" si="42"/>
        <v/>
      </c>
      <c r="H638" t="str">
        <f t="shared" si="44"/>
        <v/>
      </c>
      <c r="I638" s="188" t="str">
        <f t="shared" si="43"/>
        <v/>
      </c>
    </row>
    <row r="639" spans="1:9">
      <c r="A639">
        <v>636</v>
      </c>
      <c r="B639" s="46">
        <v>46080</v>
      </c>
      <c r="C639" s="166">
        <v>156.97409322990973</v>
      </c>
      <c r="D639" s="166">
        <v>130.24536147210011</v>
      </c>
      <c r="E639" s="166">
        <f t="shared" si="45"/>
        <v>130.24536147210011</v>
      </c>
      <c r="F639" s="188" t="str">
        <f t="shared" si="42"/>
        <v/>
      </c>
      <c r="H639" t="str">
        <f t="shared" si="44"/>
        <v/>
      </c>
      <c r="I639" s="188" t="str">
        <f t="shared" si="43"/>
        <v/>
      </c>
    </row>
    <row r="640" spans="1:9">
      <c r="A640">
        <v>637</v>
      </c>
      <c r="B640" s="46">
        <v>46081</v>
      </c>
      <c r="C640" s="166">
        <v>139.63063275090786</v>
      </c>
      <c r="D640" s="166">
        <v>130.24536147210011</v>
      </c>
      <c r="E640" s="166">
        <f t="shared" si="45"/>
        <v>130.24536147210011</v>
      </c>
      <c r="F640" s="188" t="str">
        <f t="shared" si="42"/>
        <v/>
      </c>
      <c r="H640" t="str">
        <f t="shared" si="44"/>
        <v/>
      </c>
      <c r="I640" s="188" t="str">
        <f t="shared" si="43"/>
        <v/>
      </c>
    </row>
    <row r="641" spans="1:9">
      <c r="A641">
        <v>638</v>
      </c>
      <c r="B641" s="46">
        <v>46082</v>
      </c>
      <c r="C641" s="166">
        <v>145.04988385490972</v>
      </c>
      <c r="D641" s="166">
        <v>137.27594688682913</v>
      </c>
      <c r="E641" s="166">
        <f t="shared" si="45"/>
        <v>137.27594688682913</v>
      </c>
      <c r="F641" s="188" t="str">
        <f t="shared" si="42"/>
        <v/>
      </c>
      <c r="H641" t="str">
        <f t="shared" si="44"/>
        <v/>
      </c>
      <c r="I641" s="188" t="str">
        <f t="shared" si="43"/>
        <v/>
      </c>
    </row>
    <row r="642" spans="1:9">
      <c r="A642">
        <v>639</v>
      </c>
      <c r="B642" s="46">
        <v>46083</v>
      </c>
      <c r="C642" s="166">
        <v>135.6930848069116</v>
      </c>
      <c r="D642" s="166">
        <v>137.27594688682913</v>
      </c>
      <c r="E642" s="166">
        <f t="shared" si="45"/>
        <v>135.6930848069116</v>
      </c>
      <c r="F642" s="188" t="str">
        <f t="shared" si="42"/>
        <v/>
      </c>
      <c r="H642" t="str">
        <f t="shared" si="44"/>
        <v/>
      </c>
      <c r="I642" s="188" t="str">
        <f t="shared" si="43"/>
        <v/>
      </c>
    </row>
    <row r="643" spans="1:9">
      <c r="A643">
        <v>640</v>
      </c>
      <c r="B643" s="46">
        <v>46084</v>
      </c>
      <c r="C643" s="166">
        <v>188.0857849639097</v>
      </c>
      <c r="D643" s="166">
        <v>137.27594688682913</v>
      </c>
      <c r="E643" s="166">
        <f t="shared" si="45"/>
        <v>137.27594688682913</v>
      </c>
      <c r="F643" s="188" t="str">
        <f t="shared" ref="F643:F706" si="46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t="str">
        <f t="shared" si="44"/>
        <v/>
      </c>
      <c r="I643" s="188" t="str">
        <f t="shared" si="43"/>
        <v/>
      </c>
    </row>
    <row r="644" spans="1:9">
      <c r="A644">
        <v>641</v>
      </c>
      <c r="B644" s="46">
        <v>46085</v>
      </c>
      <c r="C644" s="166">
        <v>179.33539994043255</v>
      </c>
      <c r="D644" s="166">
        <v>137.27594688682913</v>
      </c>
      <c r="E644" s="166">
        <f t="shared" si="45"/>
        <v>137.27594688682913</v>
      </c>
      <c r="F644" s="188" t="str">
        <f t="shared" si="46"/>
        <v/>
      </c>
      <c r="H644" t="str">
        <f t="shared" si="44"/>
        <v/>
      </c>
      <c r="I644" s="188" t="str">
        <f t="shared" ref="I644:I707" si="47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</row>
    <row r="645" spans="1:9">
      <c r="A645">
        <v>642</v>
      </c>
      <c r="B645" s="46">
        <v>46086</v>
      </c>
      <c r="C645" s="166">
        <v>182.62127593343439</v>
      </c>
      <c r="D645" s="166">
        <v>137.27594688682913</v>
      </c>
      <c r="E645" s="166">
        <f t="shared" si="45"/>
        <v>137.27594688682913</v>
      </c>
      <c r="F645" s="188" t="str">
        <f t="shared" si="46"/>
        <v/>
      </c>
      <c r="H645" t="str">
        <f t="shared" ref="H645:H708" si="48">IF(MONTH(B645)=1,IF(DAY(B645)=1,YEAR(B645),""),"")</f>
        <v/>
      </c>
      <c r="I645" s="188" t="str">
        <f t="shared" si="47"/>
        <v/>
      </c>
    </row>
    <row r="646" spans="1:9">
      <c r="A646">
        <v>643</v>
      </c>
      <c r="B646" s="46">
        <v>46087</v>
      </c>
      <c r="C646" s="166">
        <v>166.47430448143066</v>
      </c>
      <c r="D646" s="166">
        <v>137.27594688682913</v>
      </c>
      <c r="E646" s="166">
        <f t="shared" si="45"/>
        <v>137.27594688682913</v>
      </c>
      <c r="F646" s="188" t="str">
        <f t="shared" si="46"/>
        <v/>
      </c>
      <c r="H646" t="str">
        <f t="shared" si="48"/>
        <v/>
      </c>
      <c r="I646" s="188" t="str">
        <f t="shared" si="47"/>
        <v/>
      </c>
    </row>
    <row r="647" spans="1:9">
      <c r="A647">
        <v>644</v>
      </c>
      <c r="B647" s="46">
        <v>46088</v>
      </c>
      <c r="C647" s="166">
        <v>161.51808291343625</v>
      </c>
      <c r="D647" s="166">
        <v>137.27594688682913</v>
      </c>
      <c r="E647" s="166">
        <f t="shared" si="45"/>
        <v>137.27594688682913</v>
      </c>
      <c r="F647" s="188" t="str">
        <f t="shared" si="46"/>
        <v/>
      </c>
      <c r="H647" t="str">
        <f t="shared" si="48"/>
        <v/>
      </c>
      <c r="I647" s="188" t="str">
        <f t="shared" si="47"/>
        <v/>
      </c>
    </row>
    <row r="648" spans="1:9">
      <c r="A648">
        <v>645</v>
      </c>
      <c r="B648" s="46">
        <v>46089</v>
      </c>
      <c r="C648" s="166">
        <v>157.48765902243065</v>
      </c>
      <c r="D648" s="166">
        <v>137.27594688682913</v>
      </c>
      <c r="E648" s="166">
        <f t="shared" si="45"/>
        <v>137.27594688682913</v>
      </c>
      <c r="F648" s="188" t="str">
        <f t="shared" si="46"/>
        <v/>
      </c>
      <c r="H648" t="str">
        <f t="shared" si="48"/>
        <v/>
      </c>
      <c r="I648" s="188" t="str">
        <f t="shared" si="47"/>
        <v/>
      </c>
    </row>
    <row r="649" spans="1:9">
      <c r="A649">
        <v>646</v>
      </c>
      <c r="B649" s="46">
        <v>46090</v>
      </c>
      <c r="C649" s="166">
        <v>175.84599191343437</v>
      </c>
      <c r="D649" s="166">
        <v>137.27594688682913</v>
      </c>
      <c r="E649" s="166">
        <f t="shared" si="45"/>
        <v>137.27594688682913</v>
      </c>
      <c r="F649" s="188" t="str">
        <f t="shared" si="46"/>
        <v/>
      </c>
      <c r="H649" t="str">
        <f t="shared" si="48"/>
        <v/>
      </c>
      <c r="I649" s="188" t="str">
        <f t="shared" si="47"/>
        <v/>
      </c>
    </row>
    <row r="650" spans="1:9">
      <c r="A650">
        <v>647</v>
      </c>
      <c r="B650" s="46">
        <v>46091</v>
      </c>
      <c r="C650" s="166">
        <v>170.88447220543441</v>
      </c>
      <c r="D650" s="166">
        <v>137.27594688682913</v>
      </c>
      <c r="E650" s="166">
        <f t="shared" si="45"/>
        <v>137.27594688682913</v>
      </c>
      <c r="F650" s="188" t="str">
        <f t="shared" si="46"/>
        <v/>
      </c>
      <c r="H650" t="str">
        <f t="shared" si="48"/>
        <v/>
      </c>
      <c r="I650" s="188" t="str">
        <f t="shared" si="47"/>
        <v/>
      </c>
    </row>
    <row r="651" spans="1:9">
      <c r="A651">
        <v>648</v>
      </c>
      <c r="B651" s="46">
        <v>46092</v>
      </c>
      <c r="C651" s="166">
        <v>185.12149557487723</v>
      </c>
      <c r="D651" s="166">
        <v>137.27594688682913</v>
      </c>
      <c r="E651" s="166">
        <f t="shared" si="45"/>
        <v>137.27594688682913</v>
      </c>
      <c r="F651" s="188" t="str">
        <f t="shared" si="46"/>
        <v/>
      </c>
      <c r="H651" t="str">
        <f t="shared" si="48"/>
        <v/>
      </c>
      <c r="I651" s="188" t="str">
        <f t="shared" si="47"/>
        <v/>
      </c>
    </row>
    <row r="652" spans="1:9">
      <c r="A652">
        <v>649</v>
      </c>
      <c r="B652" s="46">
        <v>46093</v>
      </c>
      <c r="C652" s="166">
        <v>172.51988901688094</v>
      </c>
      <c r="D652" s="166">
        <v>137.27594688682913</v>
      </c>
      <c r="E652" s="166">
        <f t="shared" si="45"/>
        <v>137.27594688682913</v>
      </c>
      <c r="F652" s="188" t="str">
        <f t="shared" si="46"/>
        <v/>
      </c>
      <c r="H652" t="str">
        <f t="shared" si="48"/>
        <v/>
      </c>
      <c r="I652" s="188" t="str">
        <f t="shared" si="47"/>
        <v/>
      </c>
    </row>
    <row r="653" spans="1:9">
      <c r="A653">
        <v>650</v>
      </c>
      <c r="B653" s="46">
        <v>46094</v>
      </c>
      <c r="C653" s="166">
        <v>146.43581160087723</v>
      </c>
      <c r="D653" s="166">
        <v>137.27594688682913</v>
      </c>
      <c r="E653" s="166">
        <f t="shared" si="45"/>
        <v>137.27594688682913</v>
      </c>
      <c r="F653" s="188" t="str">
        <f t="shared" si="46"/>
        <v/>
      </c>
      <c r="H653" t="str">
        <f t="shared" si="48"/>
        <v/>
      </c>
      <c r="I653" s="188" t="str">
        <f t="shared" si="47"/>
        <v/>
      </c>
    </row>
    <row r="654" spans="1:9">
      <c r="A654">
        <v>651</v>
      </c>
      <c r="B654" s="46">
        <v>46095</v>
      </c>
      <c r="C654" s="166">
        <v>114.44261998187723</v>
      </c>
      <c r="D654" s="166">
        <v>137.27594688682913</v>
      </c>
      <c r="E654" s="166">
        <f t="shared" si="45"/>
        <v>114.44261998187723</v>
      </c>
      <c r="F654" s="188" t="str">
        <f t="shared" si="46"/>
        <v/>
      </c>
      <c r="H654" t="str">
        <f t="shared" si="48"/>
        <v/>
      </c>
      <c r="I654" s="188" t="str">
        <f t="shared" si="47"/>
        <v/>
      </c>
    </row>
    <row r="655" spans="1:9">
      <c r="A655">
        <v>652</v>
      </c>
      <c r="B655" s="46">
        <v>46096</v>
      </c>
      <c r="C655" s="166">
        <v>100.62032380187722</v>
      </c>
      <c r="D655" s="166">
        <v>137.27594688682913</v>
      </c>
      <c r="E655" s="166">
        <f t="shared" ref="E655:E718" si="49">IF(C655&lt;D655,C655,D655)</f>
        <v>100.62032380187722</v>
      </c>
      <c r="F655" s="188" t="str">
        <f t="shared" si="46"/>
        <v>M</v>
      </c>
      <c r="H655" t="str">
        <f t="shared" si="48"/>
        <v/>
      </c>
      <c r="I655" s="188" t="str">
        <f t="shared" si="47"/>
        <v>M</v>
      </c>
    </row>
    <row r="656" spans="1:9">
      <c r="A656">
        <v>653</v>
      </c>
      <c r="B656" s="46">
        <v>46097</v>
      </c>
      <c r="C656" s="166">
        <v>137.06542471387908</v>
      </c>
      <c r="D656" s="166">
        <v>137.27594688682913</v>
      </c>
      <c r="E656" s="166">
        <f t="shared" si="49"/>
        <v>137.06542471387908</v>
      </c>
      <c r="F656" s="188" t="str">
        <f t="shared" si="46"/>
        <v/>
      </c>
      <c r="G656" s="189" t="str">
        <f>IF(DAY(B656)=15,D656,"")</f>
        <v/>
      </c>
      <c r="H656" t="str">
        <f t="shared" si="48"/>
        <v/>
      </c>
      <c r="I656" s="188" t="str">
        <f t="shared" si="47"/>
        <v/>
      </c>
    </row>
    <row r="657" spans="1:9">
      <c r="A657">
        <v>654</v>
      </c>
      <c r="B657" s="46">
        <v>46098</v>
      </c>
      <c r="C657" s="166">
        <v>151.85324682987908</v>
      </c>
      <c r="D657" s="166">
        <v>137.27594688682913</v>
      </c>
      <c r="E657" s="166">
        <f t="shared" si="49"/>
        <v>137.27594688682913</v>
      </c>
      <c r="F657" s="188" t="str">
        <f t="shared" si="46"/>
        <v/>
      </c>
      <c r="H657" t="str">
        <f t="shared" si="48"/>
        <v/>
      </c>
      <c r="I657" s="188" t="str">
        <f t="shared" si="47"/>
        <v/>
      </c>
    </row>
    <row r="658" spans="1:9">
      <c r="A658">
        <v>655</v>
      </c>
      <c r="B658" s="46">
        <v>46099</v>
      </c>
      <c r="C658" s="166">
        <v>140.58984365155317</v>
      </c>
      <c r="D658" s="166">
        <v>137.27594688682913</v>
      </c>
      <c r="E658" s="166">
        <f t="shared" si="49"/>
        <v>137.27594688682913</v>
      </c>
      <c r="F658" s="188" t="str">
        <f t="shared" si="46"/>
        <v/>
      </c>
      <c r="H658" t="str">
        <f t="shared" si="48"/>
        <v/>
      </c>
      <c r="I658" s="188" t="str">
        <f t="shared" si="47"/>
        <v/>
      </c>
    </row>
    <row r="659" spans="1:9">
      <c r="A659">
        <v>656</v>
      </c>
      <c r="B659" s="46">
        <v>46100</v>
      </c>
      <c r="C659" s="166">
        <v>119.39261836855691</v>
      </c>
      <c r="D659" s="166">
        <v>137.27594688682913</v>
      </c>
      <c r="E659" s="166">
        <f t="shared" si="49"/>
        <v>119.39261836855691</v>
      </c>
      <c r="F659" s="188" t="str">
        <f t="shared" si="46"/>
        <v/>
      </c>
      <c r="H659" t="str">
        <f t="shared" si="48"/>
        <v/>
      </c>
      <c r="I659" s="188" t="str">
        <f t="shared" si="47"/>
        <v/>
      </c>
    </row>
    <row r="660" spans="1:9">
      <c r="A660">
        <v>657</v>
      </c>
      <c r="B660" s="46">
        <v>46101</v>
      </c>
      <c r="C660" s="166">
        <v>157.99740078655691</v>
      </c>
      <c r="D660" s="166">
        <v>137.27594688682913</v>
      </c>
      <c r="E660" s="166">
        <f t="shared" si="49"/>
        <v>137.27594688682913</v>
      </c>
      <c r="F660" s="188" t="str">
        <f t="shared" si="46"/>
        <v/>
      </c>
      <c r="H660" t="str">
        <f t="shared" si="48"/>
        <v/>
      </c>
      <c r="I660" s="188" t="str">
        <f t="shared" si="47"/>
        <v/>
      </c>
    </row>
    <row r="661" spans="1:9">
      <c r="A661">
        <v>658</v>
      </c>
      <c r="B661" s="46">
        <v>46102</v>
      </c>
      <c r="C661" s="166">
        <v>155.40672913955504</v>
      </c>
      <c r="D661" s="166">
        <v>137.27594688682913</v>
      </c>
      <c r="E661" s="166">
        <f t="shared" si="49"/>
        <v>137.27594688682913</v>
      </c>
      <c r="F661" s="188" t="str">
        <f t="shared" si="46"/>
        <v/>
      </c>
      <c r="H661" t="str">
        <f t="shared" si="48"/>
        <v/>
      </c>
      <c r="I661" s="188" t="str">
        <f t="shared" si="47"/>
        <v/>
      </c>
    </row>
    <row r="662" spans="1:9">
      <c r="A662">
        <v>659</v>
      </c>
      <c r="B662" s="46">
        <v>46103</v>
      </c>
      <c r="C662" s="166">
        <v>122.88213651255319</v>
      </c>
      <c r="D662" s="166">
        <v>137.27594688682913</v>
      </c>
      <c r="E662" s="166">
        <f t="shared" si="49"/>
        <v>122.88213651255319</v>
      </c>
      <c r="F662" s="188" t="str">
        <f t="shared" si="46"/>
        <v/>
      </c>
      <c r="H662" t="str">
        <f t="shared" si="48"/>
        <v/>
      </c>
      <c r="I662" s="188" t="str">
        <f t="shared" si="47"/>
        <v/>
      </c>
    </row>
    <row r="663" spans="1:9">
      <c r="A663">
        <v>660</v>
      </c>
      <c r="B663" s="46">
        <v>46104</v>
      </c>
      <c r="C663" s="166">
        <v>118.93367184655506</v>
      </c>
      <c r="D663" s="166">
        <v>137.27594688682913</v>
      </c>
      <c r="E663" s="166">
        <f t="shared" si="49"/>
        <v>118.93367184655506</v>
      </c>
      <c r="F663" s="188" t="str">
        <f t="shared" si="46"/>
        <v/>
      </c>
      <c r="H663" t="str">
        <f t="shared" si="48"/>
        <v/>
      </c>
      <c r="I663" s="188" t="str">
        <f t="shared" si="47"/>
        <v/>
      </c>
    </row>
    <row r="664" spans="1:9">
      <c r="A664">
        <v>661</v>
      </c>
      <c r="B664" s="46">
        <v>46105</v>
      </c>
      <c r="C664" s="166">
        <v>132.99573611155503</v>
      </c>
      <c r="D664" s="166">
        <v>137.27594688682913</v>
      </c>
      <c r="E664" s="166">
        <f t="shared" si="49"/>
        <v>132.99573611155503</v>
      </c>
      <c r="F664" s="188" t="str">
        <f t="shared" si="46"/>
        <v/>
      </c>
      <c r="H664" t="str">
        <f t="shared" si="48"/>
        <v/>
      </c>
      <c r="I664" s="188" t="str">
        <f t="shared" si="47"/>
        <v/>
      </c>
    </row>
    <row r="665" spans="1:9">
      <c r="A665">
        <v>662</v>
      </c>
      <c r="B665" s="46">
        <v>46106</v>
      </c>
      <c r="C665" s="166">
        <v>106.76487909682987</v>
      </c>
      <c r="D665" s="166">
        <v>137.27594688682913</v>
      </c>
      <c r="E665" s="166">
        <f t="shared" si="49"/>
        <v>106.76487909682987</v>
      </c>
      <c r="F665" s="188" t="str">
        <f t="shared" si="46"/>
        <v/>
      </c>
      <c r="H665" t="str">
        <f t="shared" si="48"/>
        <v/>
      </c>
      <c r="I665" s="188" t="str">
        <f t="shared" si="47"/>
        <v/>
      </c>
    </row>
    <row r="666" spans="1:9">
      <c r="A666">
        <v>663</v>
      </c>
      <c r="B666" s="46">
        <v>46107</v>
      </c>
      <c r="C666" s="166">
        <v>71.280996678833603</v>
      </c>
      <c r="D666" s="166">
        <v>137.27594688682913</v>
      </c>
      <c r="E666" s="166">
        <f t="shared" si="49"/>
        <v>71.280996678833603</v>
      </c>
      <c r="F666" s="188" t="str">
        <f t="shared" si="46"/>
        <v/>
      </c>
      <c r="H666" t="str">
        <f t="shared" si="48"/>
        <v/>
      </c>
      <c r="I666" s="188" t="str">
        <f t="shared" si="47"/>
        <v/>
      </c>
    </row>
    <row r="667" spans="1:9">
      <c r="A667">
        <v>664</v>
      </c>
      <c r="B667" s="46">
        <v>46108</v>
      </c>
      <c r="C667" s="166">
        <v>69.412602800831735</v>
      </c>
      <c r="D667" s="166">
        <v>137.27594688682913</v>
      </c>
      <c r="E667" s="166">
        <f t="shared" si="49"/>
        <v>69.412602800831735</v>
      </c>
      <c r="F667" s="188" t="str">
        <f t="shared" si="46"/>
        <v/>
      </c>
      <c r="H667" t="str">
        <f t="shared" si="48"/>
        <v/>
      </c>
      <c r="I667" s="188" t="str">
        <f t="shared" si="47"/>
        <v/>
      </c>
    </row>
    <row r="668" spans="1:9">
      <c r="A668">
        <v>665</v>
      </c>
      <c r="B668" s="46">
        <v>46109</v>
      </c>
      <c r="C668" s="166">
        <v>48.286059842829879</v>
      </c>
      <c r="D668" s="166">
        <v>137.27594688682913</v>
      </c>
      <c r="E668" s="166">
        <f t="shared" si="49"/>
        <v>48.286059842829879</v>
      </c>
      <c r="F668" s="188" t="str">
        <f t="shared" si="46"/>
        <v/>
      </c>
      <c r="H668" t="str">
        <f t="shared" si="48"/>
        <v/>
      </c>
      <c r="I668" s="188" t="str">
        <f t="shared" si="47"/>
        <v/>
      </c>
    </row>
    <row r="669" spans="1:9">
      <c r="A669">
        <v>666</v>
      </c>
      <c r="B669" s="46">
        <v>46110</v>
      </c>
      <c r="C669" s="166">
        <v>48.756009019831737</v>
      </c>
      <c r="D669" s="166">
        <v>137.27594688682913</v>
      </c>
      <c r="E669" s="166">
        <f t="shared" si="49"/>
        <v>48.756009019831737</v>
      </c>
      <c r="F669" s="188" t="str">
        <f t="shared" si="46"/>
        <v/>
      </c>
      <c r="H669" t="str">
        <f t="shared" si="48"/>
        <v/>
      </c>
      <c r="I669" s="188" t="str">
        <f t="shared" si="47"/>
        <v/>
      </c>
    </row>
    <row r="670" spans="1:9">
      <c r="A670">
        <v>667</v>
      </c>
      <c r="B670" s="46">
        <v>46111</v>
      </c>
      <c r="C670" s="166">
        <v>69.654697420828015</v>
      </c>
      <c r="D670" s="166">
        <v>137.27594688682913</v>
      </c>
      <c r="E670" s="166">
        <f t="shared" si="49"/>
        <v>69.654697420828015</v>
      </c>
      <c r="F670" s="188" t="str">
        <f t="shared" si="46"/>
        <v/>
      </c>
      <c r="H670" t="str">
        <f t="shared" si="48"/>
        <v/>
      </c>
      <c r="I670" s="188" t="str">
        <f t="shared" si="47"/>
        <v/>
      </c>
    </row>
    <row r="671" spans="1:9">
      <c r="A671">
        <v>668</v>
      </c>
      <c r="B671" s="46">
        <v>46112</v>
      </c>
      <c r="C671" s="166">
        <v>60.100409236831737</v>
      </c>
      <c r="D671" s="166">
        <v>137.27594688682913</v>
      </c>
      <c r="E671" s="166">
        <f t="shared" si="49"/>
        <v>60.100409236831737</v>
      </c>
      <c r="F671" s="188" t="str">
        <f t="shared" si="46"/>
        <v/>
      </c>
      <c r="H671" t="str">
        <f t="shared" si="48"/>
        <v/>
      </c>
      <c r="I671" s="188" t="str">
        <f t="shared" si="47"/>
        <v/>
      </c>
    </row>
    <row r="672" spans="1:9">
      <c r="A672">
        <v>669</v>
      </c>
      <c r="B672" s="46">
        <v>46113</v>
      </c>
      <c r="C672" s="166">
        <v>90.954410886125189</v>
      </c>
      <c r="D672" s="166">
        <v>127.74862877812576</v>
      </c>
      <c r="E672" s="166">
        <f t="shared" si="49"/>
        <v>90.954410886125189</v>
      </c>
      <c r="F672" s="188" t="str">
        <f t="shared" si="46"/>
        <v/>
      </c>
      <c r="H672" t="str">
        <f t="shared" si="48"/>
        <v/>
      </c>
      <c r="I672" s="188" t="str">
        <f t="shared" si="47"/>
        <v/>
      </c>
    </row>
    <row r="673" spans="1:9">
      <c r="A673">
        <v>670</v>
      </c>
      <c r="B673" s="46">
        <v>46114</v>
      </c>
      <c r="C673" s="166">
        <v>82.548418672123347</v>
      </c>
      <c r="D673" s="166">
        <v>127.74862877812576</v>
      </c>
      <c r="E673" s="166">
        <f t="shared" si="49"/>
        <v>82.548418672123347</v>
      </c>
      <c r="F673" s="188" t="str">
        <f t="shared" si="46"/>
        <v/>
      </c>
      <c r="H673" t="str">
        <f t="shared" si="48"/>
        <v/>
      </c>
      <c r="I673" s="188" t="str">
        <f t="shared" si="47"/>
        <v/>
      </c>
    </row>
    <row r="674" spans="1:9">
      <c r="A674">
        <v>671</v>
      </c>
      <c r="B674" s="46">
        <v>46115</v>
      </c>
      <c r="C674" s="166">
        <v>92.920710942121474</v>
      </c>
      <c r="D674" s="166">
        <v>127.74862877812576</v>
      </c>
      <c r="E674" s="166">
        <f t="shared" si="49"/>
        <v>92.920710942121474</v>
      </c>
      <c r="F674" s="188" t="str">
        <f t="shared" si="46"/>
        <v/>
      </c>
      <c r="H674" t="str">
        <f t="shared" si="48"/>
        <v/>
      </c>
      <c r="I674" s="188" t="str">
        <f t="shared" si="47"/>
        <v/>
      </c>
    </row>
    <row r="675" spans="1:9">
      <c r="A675">
        <v>672</v>
      </c>
      <c r="B675" s="46">
        <v>46116</v>
      </c>
      <c r="C675" s="166">
        <v>94.420891944121465</v>
      </c>
      <c r="D675" s="166">
        <v>127.74862877812576</v>
      </c>
      <c r="E675" s="166">
        <f t="shared" si="49"/>
        <v>94.420891944121465</v>
      </c>
      <c r="F675" s="188" t="str">
        <f t="shared" si="46"/>
        <v/>
      </c>
      <c r="H675" t="str">
        <f t="shared" si="48"/>
        <v/>
      </c>
      <c r="I675" s="188" t="str">
        <f t="shared" si="47"/>
        <v/>
      </c>
    </row>
    <row r="676" spans="1:9">
      <c r="A676">
        <v>673</v>
      </c>
      <c r="B676" s="46">
        <v>46117</v>
      </c>
      <c r="C676" s="166">
        <v>95.678114066123342</v>
      </c>
      <c r="D676" s="166">
        <v>127.74862877812576</v>
      </c>
      <c r="E676" s="166">
        <f t="shared" si="49"/>
        <v>95.678114066123342</v>
      </c>
      <c r="F676" s="188" t="str">
        <f t="shared" si="46"/>
        <v/>
      </c>
      <c r="H676" t="str">
        <f t="shared" si="48"/>
        <v/>
      </c>
      <c r="I676" s="188" t="str">
        <f t="shared" si="47"/>
        <v/>
      </c>
    </row>
    <row r="677" spans="1:9">
      <c r="A677">
        <v>674</v>
      </c>
      <c r="B677" s="46">
        <v>46118</v>
      </c>
      <c r="C677" s="166">
        <v>90.481906112125188</v>
      </c>
      <c r="D677" s="166">
        <v>127.74862877812576</v>
      </c>
      <c r="E677" s="166">
        <f t="shared" si="49"/>
        <v>90.481906112125188</v>
      </c>
      <c r="F677" s="188" t="str">
        <f t="shared" si="46"/>
        <v/>
      </c>
      <c r="H677" t="str">
        <f t="shared" si="48"/>
        <v/>
      </c>
      <c r="I677" s="188" t="str">
        <f t="shared" si="47"/>
        <v/>
      </c>
    </row>
    <row r="678" spans="1:9">
      <c r="A678">
        <v>675</v>
      </c>
      <c r="B678" s="46">
        <v>46119</v>
      </c>
      <c r="C678" s="166">
        <v>120.59630407412146</v>
      </c>
      <c r="D678" s="166">
        <v>127.74862877812576</v>
      </c>
      <c r="E678" s="166">
        <f t="shared" si="49"/>
        <v>120.59630407412146</v>
      </c>
      <c r="F678" s="188" t="str">
        <f t="shared" si="46"/>
        <v/>
      </c>
      <c r="H678" t="str">
        <f t="shared" si="48"/>
        <v/>
      </c>
      <c r="I678" s="188" t="str">
        <f t="shared" si="47"/>
        <v/>
      </c>
    </row>
    <row r="679" spans="1:9">
      <c r="A679">
        <v>676</v>
      </c>
      <c r="B679" s="46">
        <v>46120</v>
      </c>
      <c r="C679" s="166">
        <v>127.43163898759407</v>
      </c>
      <c r="D679" s="166">
        <v>127.74862877812576</v>
      </c>
      <c r="E679" s="166">
        <f t="shared" si="49"/>
        <v>127.43163898759407</v>
      </c>
      <c r="F679" s="188" t="str">
        <f t="shared" si="46"/>
        <v/>
      </c>
      <c r="H679" t="str">
        <f t="shared" si="48"/>
        <v/>
      </c>
      <c r="I679" s="188" t="str">
        <f t="shared" si="47"/>
        <v/>
      </c>
    </row>
    <row r="680" spans="1:9">
      <c r="A680">
        <v>677</v>
      </c>
      <c r="B680" s="46">
        <v>46121</v>
      </c>
      <c r="C680" s="166">
        <v>119.47021666159593</v>
      </c>
      <c r="D680" s="166">
        <v>127.74862877812576</v>
      </c>
      <c r="E680" s="166">
        <f t="shared" si="49"/>
        <v>119.47021666159593</v>
      </c>
      <c r="F680" s="188" t="str">
        <f t="shared" si="46"/>
        <v/>
      </c>
      <c r="H680" t="str">
        <f t="shared" si="48"/>
        <v/>
      </c>
      <c r="I680" s="188" t="str">
        <f t="shared" si="47"/>
        <v/>
      </c>
    </row>
    <row r="681" spans="1:9">
      <c r="A681">
        <v>678</v>
      </c>
      <c r="B681" s="46">
        <v>46122</v>
      </c>
      <c r="C681" s="166">
        <v>103.56574747959593</v>
      </c>
      <c r="D681" s="166">
        <v>127.74862877812576</v>
      </c>
      <c r="E681" s="166">
        <f t="shared" si="49"/>
        <v>103.56574747959593</v>
      </c>
      <c r="F681" s="188" t="str">
        <f t="shared" si="46"/>
        <v/>
      </c>
      <c r="H681" t="str">
        <f t="shared" si="48"/>
        <v/>
      </c>
      <c r="I681" s="188" t="str">
        <f t="shared" si="47"/>
        <v/>
      </c>
    </row>
    <row r="682" spans="1:9">
      <c r="A682">
        <v>679</v>
      </c>
      <c r="B682" s="46">
        <v>46123</v>
      </c>
      <c r="C682" s="166">
        <v>78.185238966594071</v>
      </c>
      <c r="D682" s="166">
        <v>127.74862877812576</v>
      </c>
      <c r="E682" s="166">
        <f t="shared" si="49"/>
        <v>78.185238966594071</v>
      </c>
      <c r="F682" s="188" t="str">
        <f t="shared" si="46"/>
        <v/>
      </c>
      <c r="H682" t="str">
        <f t="shared" si="48"/>
        <v/>
      </c>
      <c r="I682" s="188" t="str">
        <f t="shared" si="47"/>
        <v/>
      </c>
    </row>
    <row r="683" spans="1:9">
      <c r="A683">
        <v>680</v>
      </c>
      <c r="B683" s="46">
        <v>46124</v>
      </c>
      <c r="C683" s="166">
        <v>57.454799726597798</v>
      </c>
      <c r="D683" s="166">
        <v>127.74862877812576</v>
      </c>
      <c r="E683" s="166">
        <f t="shared" si="49"/>
        <v>57.454799726597798</v>
      </c>
      <c r="F683" s="188" t="str">
        <f t="shared" si="46"/>
        <v/>
      </c>
      <c r="H683" t="str">
        <f t="shared" si="48"/>
        <v/>
      </c>
      <c r="I683" s="188" t="str">
        <f t="shared" si="47"/>
        <v/>
      </c>
    </row>
    <row r="684" spans="1:9">
      <c r="A684">
        <v>681</v>
      </c>
      <c r="B684" s="46">
        <v>46125</v>
      </c>
      <c r="C684" s="166">
        <v>67.208198955594071</v>
      </c>
      <c r="D684" s="166">
        <v>127.74862877812576</v>
      </c>
      <c r="E684" s="166">
        <f t="shared" si="49"/>
        <v>67.208198955594071</v>
      </c>
      <c r="F684" s="188" t="str">
        <f t="shared" si="46"/>
        <v/>
      </c>
      <c r="H684" t="str">
        <f t="shared" si="48"/>
        <v/>
      </c>
      <c r="I684" s="188" t="str">
        <f t="shared" si="47"/>
        <v/>
      </c>
    </row>
    <row r="685" spans="1:9">
      <c r="A685">
        <v>682</v>
      </c>
      <c r="B685" s="46">
        <v>46126</v>
      </c>
      <c r="C685" s="166">
        <v>88.387972225595931</v>
      </c>
      <c r="D685" s="166">
        <v>127.74862877812576</v>
      </c>
      <c r="E685" s="166">
        <f t="shared" si="49"/>
        <v>88.387972225595931</v>
      </c>
      <c r="F685" s="188" t="str">
        <f t="shared" si="46"/>
        <v/>
      </c>
      <c r="H685" t="str">
        <f t="shared" si="48"/>
        <v/>
      </c>
      <c r="I685" s="188" t="str">
        <f t="shared" si="47"/>
        <v/>
      </c>
    </row>
    <row r="686" spans="1:9">
      <c r="A686">
        <v>683</v>
      </c>
      <c r="B686" s="46">
        <v>46127</v>
      </c>
      <c r="C686" s="166">
        <v>87.844399155429457</v>
      </c>
      <c r="D686" s="166">
        <v>127.74862877812576</v>
      </c>
      <c r="E686" s="166">
        <f t="shared" si="49"/>
        <v>87.844399155429457</v>
      </c>
      <c r="F686" s="188" t="str">
        <f t="shared" si="46"/>
        <v>A</v>
      </c>
      <c r="H686" t="str">
        <f t="shared" si="48"/>
        <v/>
      </c>
      <c r="I686" s="188" t="str">
        <f t="shared" si="47"/>
        <v>A</v>
      </c>
    </row>
    <row r="687" spans="1:9">
      <c r="A687">
        <v>684</v>
      </c>
      <c r="B687" s="46">
        <v>46128</v>
      </c>
      <c r="C687" s="166">
        <v>93.660145318433194</v>
      </c>
      <c r="D687" s="166">
        <v>127.74862877812576</v>
      </c>
      <c r="E687" s="166">
        <f t="shared" si="49"/>
        <v>93.660145318433194</v>
      </c>
      <c r="F687" s="188" t="str">
        <f t="shared" si="46"/>
        <v/>
      </c>
      <c r="G687" s="189" t="str">
        <f>IF(DAY(B687)=15,D687,"")</f>
        <v/>
      </c>
      <c r="H687" t="str">
        <f t="shared" si="48"/>
        <v/>
      </c>
      <c r="I687" s="188" t="str">
        <f t="shared" si="47"/>
        <v/>
      </c>
    </row>
    <row r="688" spans="1:9">
      <c r="A688">
        <v>685</v>
      </c>
      <c r="B688" s="46">
        <v>46129</v>
      </c>
      <c r="C688" s="166">
        <v>103.88382140443319</v>
      </c>
      <c r="D688" s="166">
        <v>127.74862877812576</v>
      </c>
      <c r="E688" s="166">
        <f t="shared" si="49"/>
        <v>103.88382140443319</v>
      </c>
      <c r="F688" s="188" t="str">
        <f t="shared" si="46"/>
        <v/>
      </c>
      <c r="H688" t="str">
        <f t="shared" si="48"/>
        <v/>
      </c>
      <c r="I688" s="188" t="str">
        <f t="shared" si="47"/>
        <v/>
      </c>
    </row>
    <row r="689" spans="1:9">
      <c r="A689">
        <v>686</v>
      </c>
      <c r="B689" s="46">
        <v>46130</v>
      </c>
      <c r="C689" s="166">
        <v>66.35781407942946</v>
      </c>
      <c r="D689" s="166">
        <v>127.74862877812576</v>
      </c>
      <c r="E689" s="166">
        <f t="shared" si="49"/>
        <v>66.35781407942946</v>
      </c>
      <c r="F689" s="188" t="str">
        <f t="shared" si="46"/>
        <v/>
      </c>
      <c r="H689" t="str">
        <f t="shared" si="48"/>
        <v/>
      </c>
      <c r="I689" s="188" t="str">
        <f t="shared" si="47"/>
        <v/>
      </c>
    </row>
    <row r="690" spans="1:9">
      <c r="A690">
        <v>687</v>
      </c>
      <c r="B690" s="46">
        <v>46131</v>
      </c>
      <c r="C690" s="166">
        <v>46.572328499433191</v>
      </c>
      <c r="D690" s="166">
        <v>127.74862877812576</v>
      </c>
      <c r="E690" s="166">
        <f t="shared" si="49"/>
        <v>46.572328499433191</v>
      </c>
      <c r="F690" s="188" t="str">
        <f t="shared" si="46"/>
        <v/>
      </c>
      <c r="H690" t="str">
        <f t="shared" si="48"/>
        <v/>
      </c>
      <c r="I690" s="188" t="str">
        <f t="shared" si="47"/>
        <v/>
      </c>
    </row>
    <row r="691" spans="1:9">
      <c r="A691">
        <v>688</v>
      </c>
      <c r="B691" s="46">
        <v>46132</v>
      </c>
      <c r="C691" s="166">
        <v>75.848485748433191</v>
      </c>
      <c r="D691" s="166">
        <v>127.74862877812576</v>
      </c>
      <c r="E691" s="166">
        <f t="shared" si="49"/>
        <v>75.848485748433191</v>
      </c>
      <c r="F691" s="188" t="str">
        <f t="shared" si="46"/>
        <v/>
      </c>
      <c r="H691" t="str">
        <f t="shared" si="48"/>
        <v/>
      </c>
      <c r="I691" s="188" t="str">
        <f t="shared" si="47"/>
        <v/>
      </c>
    </row>
    <row r="692" spans="1:9">
      <c r="A692">
        <v>689</v>
      </c>
      <c r="B692" s="46">
        <v>46133</v>
      </c>
      <c r="C692" s="166">
        <v>68.827133293431331</v>
      </c>
      <c r="D692" s="166">
        <v>127.74862877812576</v>
      </c>
      <c r="E692" s="166">
        <f t="shared" si="49"/>
        <v>68.827133293431331</v>
      </c>
      <c r="F692" s="188" t="str">
        <f t="shared" si="46"/>
        <v/>
      </c>
      <c r="H692" t="str">
        <f t="shared" si="48"/>
        <v/>
      </c>
      <c r="I692" s="188" t="str">
        <f t="shared" si="47"/>
        <v/>
      </c>
    </row>
    <row r="693" spans="1:9">
      <c r="A693">
        <v>690</v>
      </c>
      <c r="B693" s="46">
        <v>46134</v>
      </c>
      <c r="C693" s="166">
        <v>78.444099388637326</v>
      </c>
      <c r="D693" s="166">
        <v>127.74862877812576</v>
      </c>
      <c r="E693" s="166">
        <f t="shared" si="49"/>
        <v>78.444099388637326</v>
      </c>
      <c r="F693" s="188" t="str">
        <f t="shared" si="46"/>
        <v/>
      </c>
      <c r="H693" t="str">
        <f t="shared" si="48"/>
        <v/>
      </c>
      <c r="I693" s="188" t="str">
        <f t="shared" si="47"/>
        <v/>
      </c>
    </row>
    <row r="694" spans="1:9">
      <c r="A694">
        <v>691</v>
      </c>
      <c r="B694" s="46">
        <v>46135</v>
      </c>
      <c r="C694" s="166">
        <v>78.403106478637326</v>
      </c>
      <c r="D694" s="166">
        <v>127.74862877812576</v>
      </c>
      <c r="E694" s="166">
        <f t="shared" si="49"/>
        <v>78.403106478637326</v>
      </c>
      <c r="F694" s="188" t="str">
        <f t="shared" si="46"/>
        <v/>
      </c>
      <c r="H694" t="str">
        <f t="shared" si="48"/>
        <v/>
      </c>
      <c r="I694" s="188" t="str">
        <f t="shared" si="47"/>
        <v/>
      </c>
    </row>
    <row r="695" spans="1:9">
      <c r="A695">
        <v>692</v>
      </c>
      <c r="B695" s="46">
        <v>46136</v>
      </c>
      <c r="C695" s="166">
        <v>93.719806265639193</v>
      </c>
      <c r="D695" s="166">
        <v>127.74862877812576</v>
      </c>
      <c r="E695" s="166">
        <f t="shared" si="49"/>
        <v>93.719806265639193</v>
      </c>
      <c r="F695" s="188" t="str">
        <f t="shared" si="46"/>
        <v/>
      </c>
      <c r="H695" t="str">
        <f t="shared" si="48"/>
        <v/>
      </c>
      <c r="I695" s="188" t="str">
        <f t="shared" si="47"/>
        <v/>
      </c>
    </row>
    <row r="696" spans="1:9">
      <c r="A696">
        <v>693</v>
      </c>
      <c r="B696" s="46">
        <v>46137</v>
      </c>
      <c r="C696" s="166">
        <v>74.781610486635472</v>
      </c>
      <c r="D696" s="166">
        <v>127.74862877812576</v>
      </c>
      <c r="E696" s="166">
        <f t="shared" si="49"/>
        <v>74.781610486635472</v>
      </c>
      <c r="F696" s="188" t="str">
        <f t="shared" si="46"/>
        <v/>
      </c>
      <c r="H696" t="str">
        <f t="shared" si="48"/>
        <v/>
      </c>
      <c r="I696" s="188" t="str">
        <f t="shared" si="47"/>
        <v/>
      </c>
    </row>
    <row r="697" spans="1:9">
      <c r="A697">
        <v>694</v>
      </c>
      <c r="B697" s="46">
        <v>46138</v>
      </c>
      <c r="C697" s="166">
        <v>54.946524059639195</v>
      </c>
      <c r="D697" s="166">
        <v>127.74862877812576</v>
      </c>
      <c r="E697" s="166">
        <f t="shared" si="49"/>
        <v>54.946524059639195</v>
      </c>
      <c r="F697" s="188" t="str">
        <f t="shared" si="46"/>
        <v/>
      </c>
      <c r="H697" t="str">
        <f t="shared" si="48"/>
        <v/>
      </c>
      <c r="I697" s="188" t="str">
        <f t="shared" si="47"/>
        <v/>
      </c>
    </row>
    <row r="698" spans="1:9">
      <c r="A698">
        <v>695</v>
      </c>
      <c r="B698" s="46">
        <v>46139</v>
      </c>
      <c r="C698" s="166">
        <v>65.856687558637333</v>
      </c>
      <c r="D698" s="166">
        <v>127.74862877812576</v>
      </c>
      <c r="E698" s="166">
        <f t="shared" si="49"/>
        <v>65.856687558637333</v>
      </c>
      <c r="F698" s="188" t="str">
        <f t="shared" si="46"/>
        <v/>
      </c>
      <c r="H698" t="str">
        <f t="shared" si="48"/>
        <v/>
      </c>
      <c r="I698" s="188" t="str">
        <f t="shared" si="47"/>
        <v/>
      </c>
    </row>
    <row r="699" spans="1:9">
      <c r="A699">
        <v>696</v>
      </c>
      <c r="B699" s="46">
        <v>46140</v>
      </c>
      <c r="C699" s="166">
        <v>70.928353295639198</v>
      </c>
      <c r="D699" s="166">
        <v>127.74862877812576</v>
      </c>
      <c r="E699" s="166">
        <f t="shared" si="49"/>
        <v>70.928353295639198</v>
      </c>
      <c r="F699" s="188" t="str">
        <f t="shared" si="46"/>
        <v/>
      </c>
      <c r="H699" t="str">
        <f t="shared" si="48"/>
        <v/>
      </c>
      <c r="I699" s="188" t="str">
        <f t="shared" si="47"/>
        <v/>
      </c>
    </row>
    <row r="700" spans="1:9">
      <c r="A700">
        <v>697</v>
      </c>
      <c r="B700" s="46">
        <v>46141</v>
      </c>
      <c r="C700" s="166">
        <v>106.53722492599499</v>
      </c>
      <c r="D700" s="166">
        <v>127.74862877812576</v>
      </c>
      <c r="E700" s="166">
        <f t="shared" si="49"/>
        <v>106.53722492599499</v>
      </c>
      <c r="F700" s="188" t="str">
        <f t="shared" si="46"/>
        <v/>
      </c>
      <c r="H700" t="str">
        <f t="shared" si="48"/>
        <v/>
      </c>
      <c r="I700" s="188" t="str">
        <f t="shared" si="47"/>
        <v/>
      </c>
    </row>
    <row r="701" spans="1:9">
      <c r="A701">
        <v>698</v>
      </c>
      <c r="B701" s="46">
        <v>46142</v>
      </c>
      <c r="C701" s="166">
        <v>108.04056139800245</v>
      </c>
      <c r="D701" s="166">
        <v>127.74862877812576</v>
      </c>
      <c r="E701" s="166">
        <f t="shared" si="49"/>
        <v>108.04056139800245</v>
      </c>
      <c r="F701" s="188" t="str">
        <f t="shared" si="46"/>
        <v/>
      </c>
      <c r="H701" t="str">
        <f t="shared" si="48"/>
        <v/>
      </c>
      <c r="I701" s="188" t="str">
        <f t="shared" si="47"/>
        <v/>
      </c>
    </row>
    <row r="702" spans="1:9">
      <c r="A702">
        <v>699</v>
      </c>
      <c r="B702" s="46">
        <v>46143</v>
      </c>
      <c r="C702" s="166">
        <v>86.989402905994993</v>
      </c>
      <c r="D702" s="166">
        <v>96.996337327600401</v>
      </c>
      <c r="E702" s="166">
        <f t="shared" si="49"/>
        <v>86.989402905994993</v>
      </c>
      <c r="F702" s="188" t="str">
        <f t="shared" si="46"/>
        <v/>
      </c>
      <c r="H702" t="str">
        <f t="shared" si="48"/>
        <v/>
      </c>
      <c r="I702" s="188" t="str">
        <f t="shared" si="47"/>
        <v/>
      </c>
    </row>
    <row r="703" spans="1:9">
      <c r="A703">
        <v>700</v>
      </c>
      <c r="B703" s="46">
        <v>46144</v>
      </c>
      <c r="C703" s="166">
        <v>74.728085611996846</v>
      </c>
      <c r="D703" s="166">
        <v>96.996337327600401</v>
      </c>
      <c r="E703" s="166">
        <f t="shared" si="49"/>
        <v>74.728085611996846</v>
      </c>
      <c r="F703" s="188" t="str">
        <f t="shared" si="46"/>
        <v/>
      </c>
      <c r="H703" t="str">
        <f t="shared" si="48"/>
        <v/>
      </c>
      <c r="I703" s="188" t="str">
        <f t="shared" si="47"/>
        <v/>
      </c>
    </row>
    <row r="704" spans="1:9">
      <c r="A704">
        <v>701</v>
      </c>
      <c r="B704" s="46">
        <v>46145</v>
      </c>
      <c r="C704" s="166">
        <v>80.241866380000587</v>
      </c>
      <c r="D704" s="166">
        <v>96.996337327600401</v>
      </c>
      <c r="E704" s="166">
        <f t="shared" si="49"/>
        <v>80.241866380000587</v>
      </c>
      <c r="F704" s="188" t="str">
        <f t="shared" si="46"/>
        <v/>
      </c>
      <c r="H704" t="str">
        <f t="shared" si="48"/>
        <v/>
      </c>
      <c r="I704" s="188" t="str">
        <f t="shared" si="47"/>
        <v/>
      </c>
    </row>
    <row r="705" spans="1:9">
      <c r="A705">
        <v>702</v>
      </c>
      <c r="B705" s="46">
        <v>46146</v>
      </c>
      <c r="C705" s="166">
        <v>125.220437346995</v>
      </c>
      <c r="D705" s="166">
        <v>96.996337327600401</v>
      </c>
      <c r="E705" s="166">
        <f t="shared" si="49"/>
        <v>96.996337327600401</v>
      </c>
      <c r="F705" s="188" t="str">
        <f t="shared" si="46"/>
        <v/>
      </c>
      <c r="H705" t="str">
        <f t="shared" si="48"/>
        <v/>
      </c>
      <c r="I705" s="188" t="str">
        <f t="shared" si="47"/>
        <v/>
      </c>
    </row>
    <row r="706" spans="1:9">
      <c r="A706">
        <v>703</v>
      </c>
      <c r="B706" s="46">
        <v>46147</v>
      </c>
      <c r="C706" s="166">
        <v>112.96538224199873</v>
      </c>
      <c r="D706" s="166">
        <v>96.996337327600401</v>
      </c>
      <c r="E706" s="166">
        <f t="shared" si="49"/>
        <v>96.996337327600401</v>
      </c>
      <c r="F706" s="188" t="str">
        <f t="shared" si="46"/>
        <v/>
      </c>
      <c r="H706" t="str">
        <f t="shared" si="48"/>
        <v/>
      </c>
      <c r="I706" s="188" t="str">
        <f t="shared" si="47"/>
        <v/>
      </c>
    </row>
    <row r="707" spans="1:9">
      <c r="A707">
        <v>704</v>
      </c>
      <c r="B707" s="46">
        <v>46148</v>
      </c>
      <c r="C707" s="166">
        <v>107.49255053310618</v>
      </c>
      <c r="D707" s="166">
        <v>96.996337327600401</v>
      </c>
      <c r="E707" s="166">
        <f t="shared" si="49"/>
        <v>96.996337327600401</v>
      </c>
      <c r="F707" s="188" t="str">
        <f t="shared" ref="F707:F764" si="50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t="str">
        <f t="shared" si="48"/>
        <v/>
      </c>
      <c r="I707" s="188" t="str">
        <f t="shared" si="47"/>
        <v/>
      </c>
    </row>
    <row r="708" spans="1:9">
      <c r="A708">
        <v>705</v>
      </c>
      <c r="B708" s="46">
        <v>46149</v>
      </c>
      <c r="C708" s="166">
        <v>120.54221656210433</v>
      </c>
      <c r="D708" s="166">
        <v>96.996337327600401</v>
      </c>
      <c r="E708" s="166">
        <f t="shared" si="49"/>
        <v>96.996337327600401</v>
      </c>
      <c r="F708" s="188" t="str">
        <f t="shared" si="50"/>
        <v/>
      </c>
      <c r="H708" t="str">
        <f t="shared" si="48"/>
        <v/>
      </c>
      <c r="I708" s="188" t="str">
        <f t="shared" ref="I708:I746" si="51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</row>
    <row r="709" spans="1:9">
      <c r="A709">
        <v>706</v>
      </c>
      <c r="B709" s="46">
        <v>46150</v>
      </c>
      <c r="C709" s="166">
        <v>106.39197663910433</v>
      </c>
      <c r="D709" s="166">
        <v>96.996337327600401</v>
      </c>
      <c r="E709" s="166">
        <f t="shared" si="49"/>
        <v>96.996337327600401</v>
      </c>
      <c r="F709" s="188" t="str">
        <f t="shared" si="50"/>
        <v/>
      </c>
      <c r="H709" t="str">
        <f t="shared" ref="H709:H764" si="52">IF(MONTH(B709)=1,IF(DAY(B709)=1,YEAR(B709),""),"")</f>
        <v/>
      </c>
      <c r="I709" s="188" t="str">
        <f t="shared" si="51"/>
        <v/>
      </c>
    </row>
    <row r="710" spans="1:9">
      <c r="A710">
        <v>707</v>
      </c>
      <c r="B710" s="46">
        <v>46151</v>
      </c>
      <c r="C710" s="166">
        <v>68.77696112110246</v>
      </c>
      <c r="D710" s="166">
        <v>96.996337327600401</v>
      </c>
      <c r="E710" s="166">
        <f t="shared" si="49"/>
        <v>68.77696112110246</v>
      </c>
      <c r="F710" s="188" t="str">
        <f t="shared" si="50"/>
        <v/>
      </c>
      <c r="H710" t="str">
        <f t="shared" si="52"/>
        <v/>
      </c>
      <c r="I710" s="188" t="str">
        <f t="shared" si="51"/>
        <v/>
      </c>
    </row>
    <row r="711" spans="1:9">
      <c r="A711">
        <v>708</v>
      </c>
      <c r="B711" s="46">
        <v>46152</v>
      </c>
      <c r="C711" s="166">
        <v>60.648677384104317</v>
      </c>
      <c r="D711" s="166">
        <v>96.996337327600401</v>
      </c>
      <c r="E711" s="166">
        <f t="shared" si="49"/>
        <v>60.648677384104317</v>
      </c>
      <c r="F711" s="188" t="str">
        <f t="shared" si="50"/>
        <v/>
      </c>
      <c r="H711" t="str">
        <f t="shared" si="52"/>
        <v/>
      </c>
      <c r="I711" s="188" t="str">
        <f t="shared" si="51"/>
        <v/>
      </c>
    </row>
    <row r="712" spans="1:9">
      <c r="A712">
        <v>709</v>
      </c>
      <c r="B712" s="46">
        <v>46153</v>
      </c>
      <c r="C712" s="166">
        <v>92.308440412106179</v>
      </c>
      <c r="D712" s="166">
        <v>96.996337327600401</v>
      </c>
      <c r="E712" s="166">
        <f t="shared" si="49"/>
        <v>92.308440412106179</v>
      </c>
      <c r="F712" s="188" t="str">
        <f t="shared" si="50"/>
        <v/>
      </c>
      <c r="H712" t="str">
        <f t="shared" si="52"/>
        <v/>
      </c>
      <c r="I712" s="188" t="str">
        <f t="shared" si="51"/>
        <v/>
      </c>
    </row>
    <row r="713" spans="1:9">
      <c r="A713">
        <v>710</v>
      </c>
      <c r="B713" s="46">
        <v>46154</v>
      </c>
      <c r="C713" s="166">
        <v>109.53282341110246</v>
      </c>
      <c r="D713" s="166">
        <v>96.996337327600401</v>
      </c>
      <c r="E713" s="166">
        <f t="shared" si="49"/>
        <v>96.996337327600401</v>
      </c>
      <c r="F713" s="188" t="str">
        <f t="shared" si="50"/>
        <v/>
      </c>
      <c r="H713" t="str">
        <f t="shared" si="52"/>
        <v/>
      </c>
      <c r="I713" s="188" t="str">
        <f t="shared" si="51"/>
        <v/>
      </c>
    </row>
    <row r="714" spans="1:9">
      <c r="A714">
        <v>711</v>
      </c>
      <c r="B714" s="46">
        <v>46155</v>
      </c>
      <c r="C714" s="166">
        <v>93.467609295974626</v>
      </c>
      <c r="D714" s="166">
        <v>96.996337327600401</v>
      </c>
      <c r="E714" s="166">
        <f t="shared" si="49"/>
        <v>93.467609295974626</v>
      </c>
      <c r="F714" s="188" t="str">
        <f t="shared" si="50"/>
        <v/>
      </c>
      <c r="H714" t="str">
        <f t="shared" si="52"/>
        <v/>
      </c>
      <c r="I714" s="188" t="str">
        <f t="shared" si="51"/>
        <v/>
      </c>
    </row>
    <row r="715" spans="1:9">
      <c r="A715">
        <v>712</v>
      </c>
      <c r="B715" s="46">
        <v>46156</v>
      </c>
      <c r="C715" s="166">
        <v>89.567963126978356</v>
      </c>
      <c r="D715" s="166">
        <v>96.996337327600401</v>
      </c>
      <c r="E715" s="166">
        <f t="shared" si="49"/>
        <v>89.567963126978356</v>
      </c>
      <c r="F715" s="188" t="str">
        <f t="shared" si="50"/>
        <v/>
      </c>
      <c r="H715" t="str">
        <f t="shared" si="52"/>
        <v/>
      </c>
      <c r="I715" s="188" t="str">
        <f t="shared" si="51"/>
        <v/>
      </c>
    </row>
    <row r="716" spans="1:9">
      <c r="A716">
        <v>713</v>
      </c>
      <c r="B716" s="46">
        <v>46157</v>
      </c>
      <c r="C716" s="166">
        <v>84.343720663974622</v>
      </c>
      <c r="D716" s="166">
        <v>96.996337327600401</v>
      </c>
      <c r="E716" s="166">
        <f t="shared" si="49"/>
        <v>84.343720663974622</v>
      </c>
      <c r="F716" s="188" t="str">
        <f t="shared" si="50"/>
        <v>M</v>
      </c>
      <c r="H716" t="str">
        <f t="shared" si="52"/>
        <v/>
      </c>
      <c r="I716" s="188" t="str">
        <f t="shared" si="51"/>
        <v>M</v>
      </c>
    </row>
    <row r="717" spans="1:9">
      <c r="A717">
        <v>714</v>
      </c>
      <c r="B717" s="46">
        <v>46158</v>
      </c>
      <c r="C717" s="166">
        <v>92.415462039976504</v>
      </c>
      <c r="D717" s="166">
        <v>96.996337327600401</v>
      </c>
      <c r="E717" s="166">
        <f t="shared" si="49"/>
        <v>92.415462039976504</v>
      </c>
      <c r="F717" s="188" t="str">
        <f t="shared" si="50"/>
        <v/>
      </c>
      <c r="G717" s="189" t="str">
        <f>IF(DAY(B717)=15,D717,"")</f>
        <v/>
      </c>
      <c r="H717" t="str">
        <f t="shared" si="52"/>
        <v/>
      </c>
      <c r="I717" s="188" t="str">
        <f t="shared" si="51"/>
        <v/>
      </c>
    </row>
    <row r="718" spans="1:9">
      <c r="A718">
        <v>715</v>
      </c>
      <c r="B718" s="46">
        <v>46159</v>
      </c>
      <c r="C718" s="166">
        <v>92.76668698797836</v>
      </c>
      <c r="D718" s="166">
        <v>96.996337327600401</v>
      </c>
      <c r="E718" s="166">
        <f t="shared" si="49"/>
        <v>92.76668698797836</v>
      </c>
      <c r="F718" s="188" t="str">
        <f t="shared" si="50"/>
        <v/>
      </c>
      <c r="H718" t="str">
        <f t="shared" si="52"/>
        <v/>
      </c>
      <c r="I718" s="188" t="str">
        <f t="shared" si="51"/>
        <v/>
      </c>
    </row>
    <row r="719" spans="1:9">
      <c r="A719">
        <v>716</v>
      </c>
      <c r="B719" s="46">
        <v>46160</v>
      </c>
      <c r="C719" s="166">
        <v>107.85507385397651</v>
      </c>
      <c r="D719" s="166">
        <v>96.996337327600401</v>
      </c>
      <c r="E719" s="166">
        <f t="shared" ref="E719:E761" si="53">IF(C719&lt;D719,C719,D719)</f>
        <v>96.996337327600401</v>
      </c>
      <c r="F719" s="188" t="str">
        <f t="shared" si="50"/>
        <v/>
      </c>
      <c r="H719" t="str">
        <f t="shared" si="52"/>
        <v/>
      </c>
      <c r="I719" s="188" t="str">
        <f t="shared" si="51"/>
        <v/>
      </c>
    </row>
    <row r="720" spans="1:9">
      <c r="A720">
        <v>717</v>
      </c>
      <c r="B720" s="46">
        <v>46161</v>
      </c>
      <c r="C720" s="166">
        <v>100.10663924597463</v>
      </c>
      <c r="D720" s="166">
        <v>96.996337327600401</v>
      </c>
      <c r="E720" s="166">
        <f t="shared" si="53"/>
        <v>96.996337327600401</v>
      </c>
      <c r="F720" s="188" t="str">
        <f t="shared" si="50"/>
        <v/>
      </c>
      <c r="H720" t="str">
        <f t="shared" si="52"/>
        <v/>
      </c>
      <c r="I720" s="188" t="str">
        <f t="shared" si="51"/>
        <v/>
      </c>
    </row>
    <row r="721" spans="1:9">
      <c r="A721">
        <v>718</v>
      </c>
      <c r="B721" s="46">
        <v>46162</v>
      </c>
      <c r="C721" s="166">
        <v>94.574809138787984</v>
      </c>
      <c r="D721" s="166">
        <v>96.996337327600401</v>
      </c>
      <c r="E721" s="166">
        <f t="shared" si="53"/>
        <v>94.574809138787984</v>
      </c>
      <c r="F721" s="188" t="str">
        <f t="shared" si="50"/>
        <v/>
      </c>
      <c r="H721" t="str">
        <f t="shared" si="52"/>
        <v/>
      </c>
      <c r="I721" s="188" t="str">
        <f t="shared" si="51"/>
        <v/>
      </c>
    </row>
    <row r="722" spans="1:9">
      <c r="A722">
        <v>719</v>
      </c>
      <c r="B722" s="46">
        <v>46163</v>
      </c>
      <c r="C722" s="166">
        <v>88.454457855787993</v>
      </c>
      <c r="D722" s="166">
        <v>96.996337327600401</v>
      </c>
      <c r="E722" s="166">
        <f t="shared" si="53"/>
        <v>88.454457855787993</v>
      </c>
      <c r="F722" s="188" t="str">
        <f t="shared" si="50"/>
        <v/>
      </c>
      <c r="H722" t="str">
        <f t="shared" si="52"/>
        <v/>
      </c>
      <c r="I722" s="188" t="str">
        <f t="shared" si="51"/>
        <v/>
      </c>
    </row>
    <row r="723" spans="1:9">
      <c r="A723">
        <v>720</v>
      </c>
      <c r="B723" s="46">
        <v>46164</v>
      </c>
      <c r="C723" s="166">
        <v>91.71057150578612</v>
      </c>
      <c r="D723" s="166">
        <v>96.996337327600401</v>
      </c>
      <c r="E723" s="166">
        <f t="shared" si="53"/>
        <v>91.71057150578612</v>
      </c>
      <c r="F723" s="188" t="str">
        <f t="shared" si="50"/>
        <v/>
      </c>
      <c r="H723" t="str">
        <f t="shared" si="52"/>
        <v/>
      </c>
      <c r="I723" s="188" t="str">
        <f t="shared" si="51"/>
        <v/>
      </c>
    </row>
    <row r="724" spans="1:9">
      <c r="A724">
        <v>721</v>
      </c>
      <c r="B724" s="46">
        <v>46165</v>
      </c>
      <c r="C724" s="166">
        <v>73.604161994787987</v>
      </c>
      <c r="D724" s="166">
        <v>96.996337327600401</v>
      </c>
      <c r="E724" s="166">
        <f t="shared" si="53"/>
        <v>73.604161994787987</v>
      </c>
      <c r="F724" s="188" t="str">
        <f t="shared" si="50"/>
        <v/>
      </c>
      <c r="H724" t="str">
        <f t="shared" si="52"/>
        <v/>
      </c>
      <c r="I724" s="188" t="str">
        <f t="shared" si="51"/>
        <v/>
      </c>
    </row>
    <row r="725" spans="1:9">
      <c r="A725">
        <v>722</v>
      </c>
      <c r="B725" s="46">
        <v>46166</v>
      </c>
      <c r="C725" s="166">
        <v>56.305882014786128</v>
      </c>
      <c r="D725" s="166">
        <v>96.996337327600401</v>
      </c>
      <c r="E725" s="166">
        <f t="shared" si="53"/>
        <v>56.305882014786128</v>
      </c>
      <c r="F725" s="188" t="str">
        <f t="shared" si="50"/>
        <v/>
      </c>
      <c r="H725" t="str">
        <f t="shared" si="52"/>
        <v/>
      </c>
      <c r="I725" s="188" t="str">
        <f t="shared" si="51"/>
        <v/>
      </c>
    </row>
    <row r="726" spans="1:9">
      <c r="A726">
        <v>723</v>
      </c>
      <c r="B726" s="46">
        <v>46167</v>
      </c>
      <c r="C726" s="166">
        <v>70.335712183787976</v>
      </c>
      <c r="D726" s="166">
        <v>96.996337327600401</v>
      </c>
      <c r="E726" s="166">
        <f t="shared" si="53"/>
        <v>70.335712183787976</v>
      </c>
      <c r="F726" s="188" t="str">
        <f t="shared" si="50"/>
        <v/>
      </c>
      <c r="H726" t="str">
        <f t="shared" si="52"/>
        <v/>
      </c>
      <c r="I726" s="188" t="str">
        <f t="shared" si="51"/>
        <v/>
      </c>
    </row>
    <row r="727" spans="1:9">
      <c r="A727">
        <v>724</v>
      </c>
      <c r="B727" s="46">
        <v>46168</v>
      </c>
      <c r="C727" s="166">
        <v>88.420787201786126</v>
      </c>
      <c r="D727" s="166">
        <v>96.996337327600401</v>
      </c>
      <c r="E727" s="166">
        <f t="shared" si="53"/>
        <v>88.420787201786126</v>
      </c>
      <c r="F727" s="188" t="str">
        <f t="shared" si="50"/>
        <v/>
      </c>
      <c r="H727" t="str">
        <f t="shared" si="52"/>
        <v/>
      </c>
      <c r="I727" s="188" t="str">
        <f t="shared" si="51"/>
        <v/>
      </c>
    </row>
    <row r="728" spans="1:9">
      <c r="A728">
        <v>725</v>
      </c>
      <c r="B728" s="46">
        <v>46169</v>
      </c>
      <c r="C728" s="166">
        <v>61.802897712191637</v>
      </c>
      <c r="D728" s="166">
        <v>96.996337327600401</v>
      </c>
      <c r="E728" s="166">
        <f t="shared" si="53"/>
        <v>61.802897712191637</v>
      </c>
      <c r="F728" s="188" t="str">
        <f t="shared" si="50"/>
        <v/>
      </c>
      <c r="H728" t="str">
        <f t="shared" si="52"/>
        <v/>
      </c>
      <c r="I728" s="188" t="str">
        <f t="shared" si="51"/>
        <v/>
      </c>
    </row>
    <row r="729" spans="1:9">
      <c r="A729">
        <v>726</v>
      </c>
      <c r="B729" s="46">
        <v>46170</v>
      </c>
      <c r="C729" s="166">
        <v>60.744908920193495</v>
      </c>
      <c r="D729" s="166">
        <v>96.996337327600401</v>
      </c>
      <c r="E729" s="166">
        <f t="shared" si="53"/>
        <v>60.744908920193495</v>
      </c>
      <c r="F729" s="188" t="str">
        <f t="shared" si="50"/>
        <v/>
      </c>
      <c r="H729" t="str">
        <f t="shared" si="52"/>
        <v/>
      </c>
      <c r="I729" s="188" t="str">
        <f t="shared" si="51"/>
        <v/>
      </c>
    </row>
    <row r="730" spans="1:9">
      <c r="A730">
        <v>727</v>
      </c>
      <c r="B730" s="46">
        <v>46171</v>
      </c>
      <c r="C730" s="166">
        <v>74.396140904189778</v>
      </c>
      <c r="D730" s="166">
        <v>96.996337327600401</v>
      </c>
      <c r="E730" s="166">
        <f t="shared" si="53"/>
        <v>74.396140904189778</v>
      </c>
      <c r="F730" s="188" t="str">
        <f t="shared" si="50"/>
        <v/>
      </c>
      <c r="H730" t="str">
        <f t="shared" si="52"/>
        <v/>
      </c>
      <c r="I730" s="188" t="str">
        <f t="shared" si="51"/>
        <v/>
      </c>
    </row>
    <row r="731" spans="1:9">
      <c r="A731">
        <v>728</v>
      </c>
      <c r="B731" s="46">
        <v>46172</v>
      </c>
      <c r="C731" s="166">
        <v>52.28320616819164</v>
      </c>
      <c r="D731" s="166">
        <v>96.996337327600401</v>
      </c>
      <c r="E731" s="166">
        <f t="shared" si="53"/>
        <v>52.28320616819164</v>
      </c>
      <c r="F731" s="188" t="str">
        <f t="shared" si="50"/>
        <v/>
      </c>
      <c r="H731" t="str">
        <f t="shared" si="52"/>
        <v/>
      </c>
      <c r="I731" s="188" t="str">
        <f t="shared" si="51"/>
        <v/>
      </c>
    </row>
    <row r="732" spans="1:9">
      <c r="A732">
        <v>729</v>
      </c>
      <c r="B732" s="46">
        <v>46173</v>
      </c>
      <c r="C732" s="166">
        <v>27.053107012193504</v>
      </c>
      <c r="D732" s="166">
        <v>96.996337327600401</v>
      </c>
      <c r="E732" s="166">
        <f t="shared" si="53"/>
        <v>27.053107012193504</v>
      </c>
      <c r="F732" s="188" t="str">
        <f t="shared" si="50"/>
        <v/>
      </c>
      <c r="H732" t="str">
        <f t="shared" si="52"/>
        <v/>
      </c>
      <c r="I732" s="188" t="str">
        <f t="shared" si="51"/>
        <v/>
      </c>
    </row>
    <row r="733" spans="1:9">
      <c r="A733">
        <v>730</v>
      </c>
      <c r="B733" s="46">
        <v>46174</v>
      </c>
      <c r="C733" s="166">
        <v>47.068135448191633</v>
      </c>
      <c r="D733" s="166">
        <v>62.073163406333713</v>
      </c>
      <c r="E733" s="166">
        <f t="shared" si="53"/>
        <v>47.068135448191633</v>
      </c>
      <c r="F733" s="188" t="str">
        <f t="shared" si="50"/>
        <v/>
      </c>
      <c r="H733" t="str">
        <f t="shared" si="52"/>
        <v/>
      </c>
      <c r="I733" s="188" t="str">
        <f t="shared" si="51"/>
        <v/>
      </c>
    </row>
    <row r="734" spans="1:9">
      <c r="A734">
        <v>731</v>
      </c>
      <c r="B734" s="46">
        <v>46175</v>
      </c>
      <c r="C734" s="166">
        <v>42.573148472195363</v>
      </c>
      <c r="D734" s="166">
        <v>62.073163406333713</v>
      </c>
      <c r="E734" s="166">
        <f t="shared" si="53"/>
        <v>42.573148472195363</v>
      </c>
      <c r="F734" s="188" t="str">
        <f t="shared" si="50"/>
        <v/>
      </c>
      <c r="H734" t="str">
        <f t="shared" si="52"/>
        <v/>
      </c>
      <c r="I734" s="188" t="str">
        <f t="shared" si="51"/>
        <v/>
      </c>
    </row>
    <row r="735" spans="1:9">
      <c r="A735">
        <v>732</v>
      </c>
      <c r="B735" s="46">
        <v>46176</v>
      </c>
      <c r="C735" s="166">
        <v>50.379102327468779</v>
      </c>
      <c r="D735" s="166">
        <v>62.073163406333713</v>
      </c>
      <c r="E735" s="166">
        <f t="shared" si="53"/>
        <v>50.379102327468779</v>
      </c>
      <c r="F735" s="188" t="str">
        <f t="shared" si="50"/>
        <v/>
      </c>
      <c r="H735" t="str">
        <f t="shared" si="52"/>
        <v/>
      </c>
      <c r="I735" s="188" t="str">
        <f t="shared" si="51"/>
        <v/>
      </c>
    </row>
    <row r="736" spans="1:9">
      <c r="A736">
        <v>733</v>
      </c>
      <c r="B736" s="46">
        <v>46177</v>
      </c>
      <c r="C736" s="166">
        <v>43.434186287470645</v>
      </c>
      <c r="D736" s="166">
        <v>62.073163406333713</v>
      </c>
      <c r="E736" s="166">
        <f t="shared" si="53"/>
        <v>43.434186287470645</v>
      </c>
      <c r="F736" s="188" t="str">
        <f t="shared" si="50"/>
        <v/>
      </c>
      <c r="H736" t="str">
        <f t="shared" si="52"/>
        <v/>
      </c>
      <c r="I736" s="188" t="str">
        <f t="shared" si="51"/>
        <v/>
      </c>
    </row>
    <row r="737" spans="1:9">
      <c r="A737">
        <v>734</v>
      </c>
      <c r="B737" s="46">
        <v>46178</v>
      </c>
      <c r="C737" s="166">
        <v>47.216500133468784</v>
      </c>
      <c r="D737" s="166">
        <v>62.073163406333713</v>
      </c>
      <c r="E737" s="166">
        <f t="shared" si="53"/>
        <v>47.216500133468784</v>
      </c>
      <c r="F737" s="188" t="str">
        <f t="shared" si="50"/>
        <v/>
      </c>
      <c r="H737" t="str">
        <f t="shared" si="52"/>
        <v/>
      </c>
      <c r="I737" s="188" t="str">
        <f t="shared" si="51"/>
        <v/>
      </c>
    </row>
    <row r="738" spans="1:9">
      <c r="A738">
        <v>735</v>
      </c>
      <c r="B738" s="46">
        <v>46179</v>
      </c>
      <c r="C738" s="166">
        <v>47.459840479468781</v>
      </c>
      <c r="D738" s="166">
        <v>62.073163406333713</v>
      </c>
      <c r="E738" s="166">
        <f t="shared" si="53"/>
        <v>47.459840479468781</v>
      </c>
      <c r="F738" s="188" t="str">
        <f t="shared" si="50"/>
        <v/>
      </c>
      <c r="H738" t="str">
        <f t="shared" si="52"/>
        <v/>
      </c>
      <c r="I738" s="188" t="str">
        <f t="shared" si="51"/>
        <v/>
      </c>
    </row>
    <row r="739" spans="1:9">
      <c r="A739">
        <v>736</v>
      </c>
      <c r="B739" s="46">
        <v>46180</v>
      </c>
      <c r="C739" s="166">
        <v>33.044922431470646</v>
      </c>
      <c r="D739" s="166">
        <v>62.073163406333713</v>
      </c>
      <c r="E739" s="166">
        <f t="shared" si="53"/>
        <v>33.044922431470646</v>
      </c>
      <c r="F739" s="188" t="str">
        <f t="shared" si="50"/>
        <v/>
      </c>
      <c r="H739" t="str">
        <f t="shared" si="52"/>
        <v/>
      </c>
      <c r="I739" s="188" t="str">
        <f t="shared" si="51"/>
        <v/>
      </c>
    </row>
    <row r="740" spans="1:9">
      <c r="A740">
        <v>737</v>
      </c>
      <c r="B740" s="46">
        <v>46181</v>
      </c>
      <c r="C740" s="166">
        <v>44.453724247468784</v>
      </c>
      <c r="D740" s="166">
        <v>62.073163406333713</v>
      </c>
      <c r="E740" s="166">
        <f t="shared" si="53"/>
        <v>44.453724247468784</v>
      </c>
      <c r="F740" s="188" t="str">
        <f t="shared" si="50"/>
        <v/>
      </c>
      <c r="H740" t="str">
        <f t="shared" si="52"/>
        <v/>
      </c>
      <c r="I740" s="188" t="str">
        <f t="shared" si="51"/>
        <v/>
      </c>
    </row>
    <row r="741" spans="1:9">
      <c r="A741">
        <v>738</v>
      </c>
      <c r="B741" s="46">
        <v>46182</v>
      </c>
      <c r="C741" s="166">
        <v>34.078163039472507</v>
      </c>
      <c r="D741" s="166">
        <v>62.073163406333713</v>
      </c>
      <c r="E741" s="166">
        <f t="shared" si="53"/>
        <v>34.078163039472507</v>
      </c>
      <c r="F741" s="188" t="str">
        <f t="shared" si="50"/>
        <v/>
      </c>
      <c r="H741" t="str">
        <f t="shared" si="52"/>
        <v/>
      </c>
      <c r="I741" s="188" t="str">
        <f t="shared" si="51"/>
        <v/>
      </c>
    </row>
    <row r="742" spans="1:9">
      <c r="A742">
        <v>739</v>
      </c>
      <c r="B742" s="46">
        <v>46183</v>
      </c>
      <c r="C742" s="166">
        <v>30.747152508585394</v>
      </c>
      <c r="D742" s="166">
        <v>62.073163406333713</v>
      </c>
      <c r="E742" s="166">
        <f t="shared" si="53"/>
        <v>30.747152508585394</v>
      </c>
      <c r="F742" s="188" t="str">
        <f t="shared" si="50"/>
        <v/>
      </c>
      <c r="H742" t="str">
        <f t="shared" si="52"/>
        <v/>
      </c>
      <c r="I742" s="188" t="str">
        <f t="shared" si="51"/>
        <v/>
      </c>
    </row>
    <row r="743" spans="1:9">
      <c r="A743">
        <v>740</v>
      </c>
      <c r="B743" s="46">
        <v>46184</v>
      </c>
      <c r="C743" s="166">
        <v>30.556959344583536</v>
      </c>
      <c r="D743" s="166">
        <v>62.073163406333713</v>
      </c>
      <c r="E743" s="166">
        <f t="shared" si="53"/>
        <v>30.556959344583536</v>
      </c>
      <c r="F743" s="188" t="str">
        <f t="shared" si="50"/>
        <v/>
      </c>
      <c r="H743" t="str">
        <f t="shared" si="52"/>
        <v/>
      </c>
      <c r="I743" s="188" t="str">
        <f t="shared" si="51"/>
        <v/>
      </c>
    </row>
    <row r="744" spans="1:9">
      <c r="A744">
        <v>741</v>
      </c>
      <c r="B744" s="46">
        <v>46185</v>
      </c>
      <c r="C744" s="166">
        <v>30.195372312585395</v>
      </c>
      <c r="D744" s="166">
        <v>62.073163406333713</v>
      </c>
      <c r="E744" s="166">
        <f t="shared" si="53"/>
        <v>30.195372312585395</v>
      </c>
      <c r="F744" s="188" t="str">
        <f t="shared" si="50"/>
        <v/>
      </c>
      <c r="H744" t="str">
        <f t="shared" si="52"/>
        <v/>
      </c>
      <c r="I744" s="188" t="str">
        <f t="shared" si="51"/>
        <v/>
      </c>
    </row>
    <row r="745" spans="1:9">
      <c r="A745">
        <v>742</v>
      </c>
      <c r="B745" s="46">
        <v>46186</v>
      </c>
      <c r="C745" s="166">
        <v>34.563535425583531</v>
      </c>
      <c r="D745" s="166">
        <v>62.073163406333713</v>
      </c>
      <c r="E745" s="166">
        <f t="shared" si="53"/>
        <v>34.563535425583531</v>
      </c>
      <c r="F745" s="188" t="str">
        <f t="shared" si="50"/>
        <v/>
      </c>
      <c r="H745" t="str">
        <f t="shared" si="52"/>
        <v/>
      </c>
      <c r="I745" s="188" t="str">
        <f t="shared" si="51"/>
        <v/>
      </c>
    </row>
    <row r="746" spans="1:9">
      <c r="A746">
        <v>743</v>
      </c>
      <c r="B746" s="46">
        <v>46187</v>
      </c>
      <c r="C746" s="166">
        <v>35.77137464758539</v>
      </c>
      <c r="D746" s="166">
        <v>62.073163406333713</v>
      </c>
      <c r="E746" s="166">
        <f t="shared" si="53"/>
        <v>35.77137464758539</v>
      </c>
      <c r="F746" s="188" t="str">
        <f t="shared" si="50"/>
        <v/>
      </c>
      <c r="H746" t="str">
        <f t="shared" si="52"/>
        <v/>
      </c>
      <c r="I746" s="188" t="str">
        <f t="shared" si="51"/>
        <v/>
      </c>
    </row>
    <row r="747" spans="1:9">
      <c r="A747">
        <v>744</v>
      </c>
      <c r="B747" s="46">
        <v>46188</v>
      </c>
      <c r="C747" s="166">
        <v>61.105004408583525</v>
      </c>
      <c r="D747" s="166">
        <v>62.073163406333713</v>
      </c>
      <c r="E747" s="166">
        <f t="shared" si="53"/>
        <v>61.105004408583525</v>
      </c>
      <c r="F747" s="188" t="str">
        <f t="shared" si="50"/>
        <v>J</v>
      </c>
      <c r="H747" t="str">
        <f t="shared" si="52"/>
        <v/>
      </c>
      <c r="I747" s="188" t="str">
        <f>IF(DAY(B747)=15,IF(MONTH(B747)=1,"E",IF(MONTH(B747)=2,"F",IF(MONTH(B747)=3,"M",IF(MONTH(B747)=4,"A",IF(MONTH(B747)=5,"M",IF(MONTH(B747)=6,"J",IF(MONTH(B747)=7,"J",IF(MONTH(B747)=8,"A",IF(MONTH(B747)=9,"S",IF(MONTH(B747)=10,"O",IF(MONTH(B747)=11,"N",IF(MONTH(B747)=12,"D","")))))))))))),"")</f>
        <v>J</v>
      </c>
    </row>
    <row r="748" spans="1:9">
      <c r="A748">
        <v>745</v>
      </c>
      <c r="B748" s="46">
        <v>46189</v>
      </c>
      <c r="C748" s="166">
        <v>68.351302360587255</v>
      </c>
      <c r="D748" s="166">
        <v>62.073163406333713</v>
      </c>
      <c r="E748" s="166">
        <f t="shared" si="53"/>
        <v>62.073163406333713</v>
      </c>
      <c r="F748" s="188" t="str">
        <f t="shared" si="50"/>
        <v/>
      </c>
      <c r="G748" s="189" t="str">
        <f>IF(DAY(B748)=15,D748,"")</f>
        <v/>
      </c>
      <c r="H748" t="str">
        <f t="shared" si="52"/>
        <v/>
      </c>
      <c r="I748" s="188" t="str">
        <f t="shared" ref="I748:I764" si="54">IF(DAY(B748)=15,IF(MONTH(B748)=1,"E",IF(MONTH(B748)=2,"F",IF(MONTH(B748)=3,"M",IF(MONTH(B748)=4,"A",IF(MONTH(B748)=5,"M",IF(MONTH(B748)=6,"J",IF(MONTH(B748)=7,"J",IF(MONTH(B748)=8,"A",IF(MONTH(B748)=9,"S",IF(MONTH(B748)=10,"O",IF(MONTH(B748)=11,"N",IF(MONTH(B748)=12,"D","")))))))))))),"")</f>
        <v/>
      </c>
    </row>
    <row r="749" spans="1:9">
      <c r="A749">
        <v>746</v>
      </c>
      <c r="B749" s="46">
        <v>46190</v>
      </c>
      <c r="C749" s="166">
        <v>40.407698469990194</v>
      </c>
      <c r="D749" s="166">
        <v>62.073163406333713</v>
      </c>
      <c r="E749" s="166">
        <f t="shared" si="53"/>
        <v>40.407698469990194</v>
      </c>
      <c r="F749" s="188" t="str">
        <f t="shared" si="50"/>
        <v/>
      </c>
      <c r="H749" t="str">
        <f t="shared" si="52"/>
        <v/>
      </c>
      <c r="I749" s="188" t="str">
        <f t="shared" si="54"/>
        <v/>
      </c>
    </row>
    <row r="750" spans="1:9">
      <c r="A750">
        <v>747</v>
      </c>
      <c r="B750" s="46">
        <v>46191</v>
      </c>
      <c r="C750" s="166">
        <v>30.290892797992054</v>
      </c>
      <c r="D750" s="166">
        <v>62.073163406333713</v>
      </c>
      <c r="E750" s="166">
        <f t="shared" si="53"/>
        <v>30.290892797992054</v>
      </c>
      <c r="F750" s="188" t="str">
        <f t="shared" si="50"/>
        <v/>
      </c>
      <c r="H750" t="str">
        <f t="shared" si="52"/>
        <v/>
      </c>
      <c r="I750" s="188" t="str">
        <f t="shared" si="54"/>
        <v/>
      </c>
    </row>
    <row r="751" spans="1:9">
      <c r="A751">
        <v>748</v>
      </c>
      <c r="B751" s="46">
        <v>46192</v>
      </c>
      <c r="C751" s="166">
        <v>35.566409522995777</v>
      </c>
      <c r="D751" s="166">
        <v>62.073163406333713</v>
      </c>
      <c r="E751" s="166">
        <f t="shared" si="53"/>
        <v>35.566409522995777</v>
      </c>
      <c r="F751" s="188" t="str">
        <f t="shared" si="50"/>
        <v/>
      </c>
      <c r="H751" t="str">
        <f t="shared" si="52"/>
        <v/>
      </c>
      <c r="I751" s="188" t="str">
        <f t="shared" si="54"/>
        <v/>
      </c>
    </row>
    <row r="752" spans="1:9">
      <c r="A752">
        <v>749</v>
      </c>
      <c r="B752" s="46">
        <v>46193</v>
      </c>
      <c r="C752" s="166">
        <v>12.367928405992053</v>
      </c>
      <c r="D752" s="166">
        <v>62.073163406333713</v>
      </c>
      <c r="E752" s="166">
        <f t="shared" si="53"/>
        <v>12.367928405992053</v>
      </c>
      <c r="F752" s="188" t="str">
        <f t="shared" si="50"/>
        <v/>
      </c>
      <c r="H752" t="str">
        <f t="shared" si="52"/>
        <v/>
      </c>
      <c r="I752" s="188" t="str">
        <f t="shared" si="54"/>
        <v/>
      </c>
    </row>
    <row r="753" spans="1:9">
      <c r="A753">
        <v>750</v>
      </c>
      <c r="B753" s="46">
        <v>46194</v>
      </c>
      <c r="C753" s="166">
        <v>6.4833669819920541</v>
      </c>
      <c r="D753" s="166">
        <v>62.073163406333713</v>
      </c>
      <c r="E753" s="166">
        <f t="shared" si="53"/>
        <v>6.4833669819920541</v>
      </c>
      <c r="F753" s="188" t="str">
        <f t="shared" si="50"/>
        <v/>
      </c>
      <c r="H753" t="str">
        <f t="shared" si="52"/>
        <v/>
      </c>
      <c r="I753" s="188" t="str">
        <f t="shared" si="54"/>
        <v/>
      </c>
    </row>
    <row r="754" spans="1:9">
      <c r="A754">
        <v>751</v>
      </c>
      <c r="B754" s="46">
        <v>46195</v>
      </c>
      <c r="C754" s="166">
        <v>37.619524392993917</v>
      </c>
      <c r="D754" s="166">
        <v>62.073163406333713</v>
      </c>
      <c r="E754" s="166">
        <f t="shared" si="53"/>
        <v>37.619524392993917</v>
      </c>
      <c r="F754" s="188" t="str">
        <f t="shared" si="50"/>
        <v/>
      </c>
      <c r="H754" t="str">
        <f t="shared" si="52"/>
        <v/>
      </c>
      <c r="I754" s="188" t="str">
        <f t="shared" si="54"/>
        <v/>
      </c>
    </row>
    <row r="755" spans="1:9">
      <c r="A755">
        <v>752</v>
      </c>
      <c r="B755" s="46">
        <v>46196</v>
      </c>
      <c r="C755" s="166">
        <v>53.082636909993916</v>
      </c>
      <c r="D755" s="166">
        <v>62.073163406333713</v>
      </c>
      <c r="E755" s="166">
        <f t="shared" si="53"/>
        <v>53.082636909993916</v>
      </c>
      <c r="F755" s="188" t="str">
        <f t="shared" si="50"/>
        <v/>
      </c>
      <c r="H755" t="str">
        <f t="shared" si="52"/>
        <v/>
      </c>
      <c r="I755" s="188" t="str">
        <f t="shared" si="54"/>
        <v/>
      </c>
    </row>
    <row r="756" spans="1:9">
      <c r="A756">
        <v>753</v>
      </c>
      <c r="B756" s="46">
        <v>46197</v>
      </c>
      <c r="C756" s="166">
        <v>29.837647560541054</v>
      </c>
      <c r="D756" s="166">
        <v>62.073163406333713</v>
      </c>
      <c r="E756" s="166">
        <f t="shared" si="53"/>
        <v>29.837647560541054</v>
      </c>
      <c r="F756" s="188" t="str">
        <f t="shared" si="50"/>
        <v/>
      </c>
      <c r="H756" t="str">
        <f t="shared" si="52"/>
        <v/>
      </c>
      <c r="I756" s="188" t="str">
        <f t="shared" si="54"/>
        <v/>
      </c>
    </row>
    <row r="757" spans="1:9">
      <c r="A757">
        <v>754</v>
      </c>
      <c r="B757" s="46">
        <v>46198</v>
      </c>
      <c r="C757" s="166">
        <v>17.098436928539186</v>
      </c>
      <c r="D757" s="166">
        <v>62.073163406333713</v>
      </c>
      <c r="E757" s="166">
        <f t="shared" si="53"/>
        <v>17.098436928539186</v>
      </c>
      <c r="F757" s="188" t="str">
        <f t="shared" si="50"/>
        <v/>
      </c>
      <c r="H757" t="str">
        <f t="shared" si="52"/>
        <v/>
      </c>
      <c r="I757" s="188" t="str">
        <f t="shared" si="54"/>
        <v/>
      </c>
    </row>
    <row r="758" spans="1:9">
      <c r="A758">
        <v>755</v>
      </c>
      <c r="B758" s="46">
        <v>46199</v>
      </c>
      <c r="C758" s="166">
        <v>11.56675413354105</v>
      </c>
      <c r="D758" s="166">
        <v>62.073163406333713</v>
      </c>
      <c r="E758" s="166">
        <f t="shared" si="53"/>
        <v>11.56675413354105</v>
      </c>
      <c r="F758" s="188" t="str">
        <f t="shared" si="50"/>
        <v/>
      </c>
      <c r="H758" t="str">
        <f t="shared" si="52"/>
        <v/>
      </c>
      <c r="I758" s="188" t="str">
        <f t="shared" si="54"/>
        <v/>
      </c>
    </row>
    <row r="759" spans="1:9">
      <c r="A759">
        <v>756</v>
      </c>
      <c r="B759" s="46">
        <v>46200</v>
      </c>
      <c r="C759" s="166">
        <v>8.9710408995429169</v>
      </c>
      <c r="D759" s="166">
        <v>62.073163406333713</v>
      </c>
      <c r="E759" s="166">
        <f t="shared" si="53"/>
        <v>8.9710408995429169</v>
      </c>
      <c r="F759" s="188" t="str">
        <f t="shared" si="50"/>
        <v/>
      </c>
      <c r="H759" t="str">
        <f t="shared" si="52"/>
        <v/>
      </c>
      <c r="I759" s="188" t="str">
        <f t="shared" si="54"/>
        <v/>
      </c>
    </row>
    <row r="760" spans="1:9">
      <c r="A760">
        <v>757</v>
      </c>
      <c r="B760" s="46">
        <v>46201</v>
      </c>
      <c r="C760" s="166">
        <v>3.9053097725391925</v>
      </c>
      <c r="D760" s="166">
        <v>62.073163406333713</v>
      </c>
      <c r="E760" s="166">
        <f t="shared" si="53"/>
        <v>3.9053097725391925</v>
      </c>
      <c r="F760" s="188" t="str">
        <f t="shared" si="50"/>
        <v/>
      </c>
      <c r="H760" t="str">
        <f t="shared" si="52"/>
        <v/>
      </c>
      <c r="I760" s="188" t="str">
        <f t="shared" si="54"/>
        <v/>
      </c>
    </row>
    <row r="761" spans="1:9">
      <c r="A761">
        <v>758</v>
      </c>
      <c r="B761" s="46">
        <v>46202</v>
      </c>
      <c r="C761" s="166">
        <v>4.3066469645391914</v>
      </c>
      <c r="D761" s="166">
        <v>62.073163406333713</v>
      </c>
      <c r="E761" s="166">
        <f t="shared" si="53"/>
        <v>4.3066469645391914</v>
      </c>
      <c r="F761" s="188" t="str">
        <f t="shared" si="50"/>
        <v/>
      </c>
      <c r="H761" t="str">
        <f t="shared" si="52"/>
        <v/>
      </c>
      <c r="I761" s="188" t="str">
        <f t="shared" si="54"/>
        <v/>
      </c>
    </row>
    <row r="762" spans="1:9">
      <c r="A762">
        <v>759</v>
      </c>
      <c r="B762" s="46">
        <v>46203</v>
      </c>
      <c r="C762" s="166">
        <v>20.873341964539183</v>
      </c>
      <c r="D762" s="166">
        <v>62.073163406333713</v>
      </c>
      <c r="E762" s="166">
        <f t="shared" ref="E762" si="55">IF(C762&lt;D762,C762,D762)</f>
        <v>20.873341964539183</v>
      </c>
      <c r="F762" s="188" t="str">
        <f t="shared" si="50"/>
        <v/>
      </c>
      <c r="H762" t="str">
        <f t="shared" si="52"/>
        <v/>
      </c>
      <c r="I762" s="188" t="str">
        <f t="shared" si="54"/>
        <v/>
      </c>
    </row>
    <row r="763" spans="1:9">
      <c r="B763" s="46"/>
      <c r="C763" s="166"/>
      <c r="D763" s="166"/>
      <c r="E763" s="166"/>
      <c r="F763" s="188" t="str">
        <f t="shared" si="50"/>
        <v/>
      </c>
      <c r="H763" t="str">
        <f t="shared" si="52"/>
        <v/>
      </c>
      <c r="I763" s="188" t="str">
        <f t="shared" si="54"/>
        <v/>
      </c>
    </row>
    <row r="764" spans="1:9">
      <c r="B764" s="46"/>
      <c r="C764" s="166"/>
      <c r="D764" s="166"/>
      <c r="E764" s="166"/>
      <c r="F764" s="188" t="str">
        <f t="shared" si="50"/>
        <v/>
      </c>
      <c r="H764" t="str">
        <f t="shared" si="52"/>
        <v/>
      </c>
      <c r="I764" s="188" t="str">
        <f t="shared" si="54"/>
        <v/>
      </c>
    </row>
    <row r="765" spans="1:9">
      <c r="B765" s="46"/>
      <c r="C765" s="166"/>
      <c r="D765" s="166"/>
      <c r="E765" s="166"/>
    </row>
    <row r="766" spans="1:9">
      <c r="B766" s="46"/>
      <c r="C766" s="166"/>
      <c r="D766" s="166"/>
      <c r="E766" s="166"/>
    </row>
    <row r="767" spans="1:9">
      <c r="B767" s="46"/>
      <c r="C767" s="166"/>
      <c r="D767" s="166"/>
      <c r="E767" s="166"/>
    </row>
    <row r="768" spans="1:9">
      <c r="B768" s="46"/>
      <c r="C768" s="166"/>
      <c r="D768" s="166"/>
      <c r="E768" s="166"/>
    </row>
    <row r="769" spans="2:5">
      <c r="B769" s="46"/>
      <c r="C769" s="166"/>
      <c r="D769" s="166"/>
      <c r="E769" s="166"/>
    </row>
    <row r="770" spans="2:5">
      <c r="B770" s="46"/>
      <c r="C770" s="166"/>
      <c r="D770" s="166"/>
      <c r="E770" s="166"/>
    </row>
    <row r="771" spans="2:5">
      <c r="B771" s="46"/>
      <c r="C771" s="166"/>
      <c r="D771" s="166"/>
      <c r="E771" s="166"/>
    </row>
    <row r="772" spans="2:5">
      <c r="B772" s="46"/>
      <c r="C772" s="166"/>
      <c r="D772" s="166"/>
      <c r="E772" s="166"/>
    </row>
    <row r="773" spans="2:5">
      <c r="B773" s="46"/>
      <c r="C773" s="166"/>
      <c r="D773" s="166"/>
      <c r="E773" s="166"/>
    </row>
    <row r="774" spans="2:5">
      <c r="B774" s="46"/>
      <c r="C774" s="166"/>
      <c r="D774" s="166"/>
      <c r="E774" s="166"/>
    </row>
    <row r="775" spans="2:5">
      <c r="B775" s="46"/>
      <c r="C775" s="166"/>
      <c r="D775" s="166"/>
      <c r="E775" s="166"/>
    </row>
    <row r="776" spans="2:5">
      <c r="B776" s="46"/>
      <c r="C776" s="166"/>
      <c r="D776" s="166"/>
      <c r="E776" s="166"/>
    </row>
    <row r="777" spans="2:5">
      <c r="B777" s="46"/>
      <c r="C777" s="166"/>
      <c r="D777" s="166"/>
      <c r="E777" s="166"/>
    </row>
    <row r="778" spans="2:5">
      <c r="B778" s="46"/>
      <c r="C778" s="166"/>
      <c r="D778" s="166"/>
      <c r="E778" s="166"/>
    </row>
    <row r="779" spans="2:5">
      <c r="B779" s="46"/>
      <c r="C779" s="166"/>
      <c r="D779" s="166"/>
      <c r="E779" s="166"/>
    </row>
    <row r="780" spans="2:5">
      <c r="B780" s="46"/>
      <c r="C780" s="166"/>
      <c r="D780" s="166"/>
      <c r="E780" s="166"/>
    </row>
    <row r="781" spans="2:5">
      <c r="B781" s="46"/>
      <c r="C781" s="166"/>
      <c r="D781" s="166"/>
      <c r="E781" s="166"/>
    </row>
    <row r="782" spans="2:5">
      <c r="B782" s="46"/>
      <c r="C782" s="166"/>
      <c r="D782" s="166"/>
      <c r="E782" s="166"/>
    </row>
    <row r="783" spans="2:5">
      <c r="B783" s="46"/>
      <c r="C783" s="166"/>
      <c r="D783" s="166"/>
      <c r="E783" s="166"/>
    </row>
    <row r="784" spans="2:5">
      <c r="B784" s="46"/>
      <c r="C784" s="166"/>
      <c r="D784" s="166"/>
      <c r="E784" s="166"/>
    </row>
    <row r="785" spans="2:5">
      <c r="B785" s="46"/>
      <c r="C785" s="166"/>
      <c r="D785" s="166"/>
      <c r="E785" s="166"/>
    </row>
    <row r="786" spans="2:5">
      <c r="B786" s="46"/>
      <c r="C786" s="166"/>
      <c r="D786" s="166"/>
      <c r="E786" s="166"/>
    </row>
    <row r="787" spans="2:5">
      <c r="B787" s="46"/>
      <c r="C787" s="166"/>
      <c r="D787" s="166"/>
      <c r="E787" s="166"/>
    </row>
    <row r="788" spans="2:5">
      <c r="B788" s="46"/>
      <c r="C788" s="166"/>
      <c r="D788" s="166"/>
      <c r="E788" s="166"/>
    </row>
    <row r="789" spans="2:5">
      <c r="B789" s="46"/>
      <c r="C789" s="166"/>
      <c r="D789" s="166"/>
      <c r="E789" s="166"/>
    </row>
    <row r="790" spans="2:5">
      <c r="B790" s="46"/>
      <c r="C790" s="166"/>
      <c r="D790" s="166"/>
      <c r="E790" s="166"/>
    </row>
    <row r="791" spans="2:5">
      <c r="B791" s="46"/>
      <c r="C791" s="166"/>
      <c r="D791" s="166"/>
      <c r="E791" s="166"/>
    </row>
    <row r="792" spans="2:5">
      <c r="B792" s="46"/>
      <c r="C792" s="166"/>
      <c r="D792" s="166"/>
      <c r="E792" s="166"/>
    </row>
    <row r="793" spans="2:5">
      <c r="B793" s="46"/>
      <c r="C793" s="166"/>
      <c r="D793" s="166"/>
      <c r="E793" s="166"/>
    </row>
    <row r="794" spans="2:5">
      <c r="B794" s="46"/>
      <c r="C794" s="166"/>
      <c r="D794" s="166"/>
      <c r="E794" s="166"/>
    </row>
    <row r="795" spans="2:5">
      <c r="B795" s="46"/>
      <c r="C795" s="166"/>
      <c r="D795" s="166"/>
      <c r="E795" s="166"/>
    </row>
    <row r="796" spans="2:5">
      <c r="B796" s="46"/>
      <c r="C796" s="166"/>
      <c r="D796" s="166"/>
      <c r="E796" s="166"/>
    </row>
    <row r="797" spans="2:5">
      <c r="B797" s="46"/>
      <c r="C797" s="166"/>
      <c r="D797" s="166"/>
      <c r="E797" s="166"/>
    </row>
    <row r="798" spans="2:5">
      <c r="B798" s="46"/>
      <c r="C798" s="166"/>
      <c r="D798" s="166"/>
      <c r="E798" s="166"/>
    </row>
    <row r="799" spans="2:5">
      <c r="B799" s="46"/>
      <c r="C799" s="166"/>
      <c r="D799" s="166"/>
      <c r="E799" s="166"/>
    </row>
    <row r="800" spans="2:5">
      <c r="B800" s="46"/>
      <c r="C800" s="166"/>
      <c r="D800" s="166"/>
      <c r="E800" s="166"/>
    </row>
    <row r="801" spans="2:5">
      <c r="B801" s="46"/>
      <c r="C801" s="166"/>
      <c r="D801" s="166"/>
      <c r="E801" s="166"/>
    </row>
    <row r="802" spans="2:5">
      <c r="B802" s="46"/>
      <c r="C802" s="166"/>
      <c r="D802" s="166"/>
      <c r="E802" s="166"/>
    </row>
    <row r="803" spans="2:5">
      <c r="B803" s="46"/>
      <c r="C803" s="166"/>
      <c r="D803" s="166"/>
      <c r="E803" s="166"/>
    </row>
    <row r="804" spans="2:5">
      <c r="B804" s="46"/>
      <c r="C804" s="166"/>
      <c r="D804" s="166"/>
      <c r="E804" s="166"/>
    </row>
    <row r="805" spans="2:5">
      <c r="B805" s="46"/>
      <c r="C805" s="166"/>
      <c r="D805" s="166"/>
      <c r="E805" s="166"/>
    </row>
    <row r="806" spans="2:5">
      <c r="B806" s="46"/>
      <c r="C806" s="166"/>
      <c r="D806" s="166"/>
      <c r="E806" s="166"/>
    </row>
    <row r="807" spans="2:5">
      <c r="B807" s="46"/>
      <c r="C807" s="166"/>
      <c r="D807" s="166"/>
      <c r="E807" s="166"/>
    </row>
    <row r="808" spans="2:5">
      <c r="B808" s="46"/>
      <c r="C808" s="166"/>
      <c r="D808" s="166"/>
      <c r="E808" s="166"/>
    </row>
    <row r="809" spans="2:5">
      <c r="B809" s="46"/>
      <c r="C809" s="166"/>
      <c r="D809" s="166"/>
      <c r="E809" s="166"/>
    </row>
    <row r="810" spans="2:5">
      <c r="B810" s="46"/>
      <c r="C810" s="166"/>
      <c r="D810" s="166"/>
      <c r="E810" s="166"/>
    </row>
    <row r="811" spans="2:5">
      <c r="B811" s="46"/>
      <c r="C811" s="166"/>
      <c r="D811" s="166"/>
      <c r="E811" s="166"/>
    </row>
    <row r="812" spans="2:5">
      <c r="B812" s="46"/>
      <c r="C812" s="166"/>
      <c r="D812" s="166"/>
      <c r="E812" s="166"/>
    </row>
    <row r="813" spans="2:5">
      <c r="B813" s="46"/>
      <c r="C813" s="166"/>
      <c r="D813" s="166"/>
      <c r="E813" s="166"/>
    </row>
    <row r="814" spans="2:5">
      <c r="B814" s="46"/>
      <c r="C814" s="166"/>
      <c r="D814" s="166"/>
      <c r="E814" s="166"/>
    </row>
    <row r="815" spans="2:5">
      <c r="B815" s="46"/>
      <c r="C815" s="166"/>
      <c r="D815" s="166"/>
      <c r="E815" s="166"/>
    </row>
    <row r="816" spans="2:5">
      <c r="B816" s="46"/>
      <c r="C816" s="166"/>
      <c r="D816" s="166"/>
      <c r="E816" s="166"/>
    </row>
    <row r="817" spans="2:5">
      <c r="B817" s="46"/>
      <c r="C817" s="166"/>
      <c r="D817" s="166"/>
      <c r="E817" s="166"/>
    </row>
    <row r="818" spans="2:5">
      <c r="B818" s="46"/>
      <c r="C818" s="166"/>
      <c r="D818" s="166"/>
      <c r="E818" s="166"/>
    </row>
    <row r="819" spans="2:5">
      <c r="B819" s="46"/>
      <c r="C819" s="166"/>
      <c r="D819" s="166"/>
      <c r="E819" s="166"/>
    </row>
    <row r="820" spans="2:5">
      <c r="B820" s="46"/>
      <c r="C820" s="166"/>
      <c r="D820" s="166"/>
      <c r="E820" s="166"/>
    </row>
    <row r="821" spans="2:5">
      <c r="B821" s="46"/>
      <c r="C821" s="166"/>
      <c r="D821" s="166"/>
      <c r="E821" s="166"/>
    </row>
    <row r="822" spans="2:5">
      <c r="B822" s="46"/>
      <c r="C822" s="166"/>
      <c r="D822" s="166"/>
      <c r="E822" s="166"/>
    </row>
    <row r="823" spans="2:5">
      <c r="B823" s="46"/>
      <c r="C823" s="166"/>
      <c r="D823" s="166"/>
      <c r="E823" s="166"/>
    </row>
    <row r="824" spans="2:5">
      <c r="B824" s="46"/>
      <c r="C824" s="166"/>
      <c r="D824" s="166"/>
      <c r="E824" s="166"/>
    </row>
    <row r="825" spans="2:5">
      <c r="B825" s="46"/>
      <c r="C825" s="166"/>
      <c r="D825" s="166"/>
      <c r="E825" s="166"/>
    </row>
    <row r="826" spans="2:5">
      <c r="B826" s="46"/>
      <c r="C826" s="166"/>
      <c r="D826" s="166"/>
      <c r="E826" s="166"/>
    </row>
    <row r="827" spans="2:5">
      <c r="B827" s="46"/>
      <c r="C827" s="166"/>
      <c r="D827" s="166"/>
      <c r="E827" s="166"/>
    </row>
    <row r="828" spans="2:5">
      <c r="B828" s="46"/>
      <c r="C828" s="166"/>
      <c r="D828" s="166"/>
      <c r="E828" s="166"/>
    </row>
    <row r="829" spans="2:5">
      <c r="B829" s="46"/>
      <c r="C829" s="166"/>
      <c r="D829" s="166"/>
      <c r="E829" s="166"/>
    </row>
    <row r="830" spans="2:5">
      <c r="B830" s="46"/>
      <c r="C830" s="166"/>
      <c r="D830" s="166"/>
      <c r="E830" s="166"/>
    </row>
    <row r="831" spans="2:5">
      <c r="B831" s="46"/>
      <c r="C831" s="166"/>
      <c r="D831" s="166"/>
      <c r="E831" s="166"/>
    </row>
    <row r="832" spans="2:5">
      <c r="B832" s="46"/>
      <c r="C832" s="166"/>
      <c r="D832" s="166"/>
      <c r="E832" s="166"/>
    </row>
    <row r="833" spans="2:5">
      <c r="B833" s="46"/>
      <c r="C833" s="166"/>
      <c r="D833" s="166"/>
      <c r="E833" s="166"/>
    </row>
    <row r="834" spans="2:5">
      <c r="B834" s="46"/>
      <c r="C834" s="166"/>
      <c r="D834" s="166"/>
      <c r="E834" s="166"/>
    </row>
    <row r="835" spans="2:5">
      <c r="B835" s="46"/>
      <c r="C835" s="166"/>
      <c r="D835" s="166"/>
      <c r="E835" s="166"/>
    </row>
    <row r="836" spans="2:5">
      <c r="B836" s="46"/>
      <c r="C836" s="166"/>
      <c r="D836" s="166"/>
      <c r="E836" s="166"/>
    </row>
    <row r="837" spans="2:5">
      <c r="B837" s="46"/>
      <c r="C837" s="166"/>
      <c r="D837" s="166"/>
      <c r="E837" s="166"/>
    </row>
    <row r="838" spans="2:5">
      <c r="B838" s="46"/>
      <c r="C838" s="166"/>
      <c r="D838" s="166"/>
      <c r="E838" s="166"/>
    </row>
    <row r="839" spans="2:5">
      <c r="B839" s="46"/>
      <c r="C839" s="166"/>
      <c r="D839" s="166"/>
      <c r="E839" s="166"/>
    </row>
    <row r="840" spans="2:5">
      <c r="B840" s="46"/>
      <c r="C840" s="166"/>
      <c r="D840" s="166"/>
      <c r="E840" s="166"/>
    </row>
    <row r="841" spans="2:5">
      <c r="B841" s="46"/>
      <c r="C841" s="166"/>
      <c r="D841" s="166"/>
      <c r="E841" s="166"/>
    </row>
    <row r="842" spans="2:5">
      <c r="B842" s="46"/>
      <c r="C842" s="166"/>
      <c r="D842" s="166"/>
      <c r="E842" s="166"/>
    </row>
    <row r="843" spans="2:5">
      <c r="B843" s="46"/>
      <c r="C843" s="166"/>
      <c r="D843" s="166"/>
      <c r="E843" s="166"/>
    </row>
    <row r="844" spans="2:5">
      <c r="B844" s="46"/>
      <c r="C844" s="166"/>
      <c r="D844" s="166"/>
      <c r="E844" s="166"/>
    </row>
    <row r="845" spans="2:5">
      <c r="B845" s="46"/>
      <c r="C845" s="166"/>
      <c r="D845" s="166"/>
      <c r="E845" s="166"/>
    </row>
    <row r="846" spans="2:5">
      <c r="B846" s="46"/>
      <c r="C846" s="166"/>
      <c r="D846" s="166"/>
      <c r="E846" s="166"/>
    </row>
    <row r="847" spans="2:5">
      <c r="B847" s="46"/>
      <c r="C847" s="166"/>
      <c r="D847" s="166"/>
      <c r="E847" s="166"/>
    </row>
    <row r="848" spans="2:5">
      <c r="B848" s="46"/>
      <c r="C848" s="166"/>
      <c r="D848" s="166"/>
      <c r="E848" s="166"/>
    </row>
    <row r="849" spans="2:5">
      <c r="B849" s="46"/>
      <c r="C849" s="166"/>
      <c r="D849" s="166"/>
      <c r="E849" s="166"/>
    </row>
    <row r="850" spans="2:5">
      <c r="B850" s="46"/>
      <c r="C850" s="166"/>
      <c r="D850" s="166"/>
      <c r="E850" s="166"/>
    </row>
    <row r="851" spans="2:5">
      <c r="B851" s="46"/>
      <c r="C851" s="166"/>
      <c r="D851" s="166"/>
      <c r="E851" s="166"/>
    </row>
    <row r="852" spans="2:5">
      <c r="B852" s="46"/>
      <c r="C852" s="166"/>
      <c r="D852" s="166"/>
      <c r="E852" s="166"/>
    </row>
    <row r="853" spans="2:5">
      <c r="B853" s="46"/>
      <c r="C853" s="166"/>
      <c r="D853" s="166"/>
      <c r="E853" s="166"/>
    </row>
    <row r="854" spans="2:5">
      <c r="B854" s="46"/>
      <c r="C854" s="166"/>
      <c r="D854" s="166"/>
      <c r="E854" s="166"/>
    </row>
    <row r="855" spans="2:5">
      <c r="B855" s="46"/>
      <c r="C855" s="166"/>
      <c r="D855" s="166"/>
      <c r="E855" s="166"/>
    </row>
    <row r="856" spans="2:5">
      <c r="B856" s="46"/>
      <c r="C856" s="166"/>
      <c r="D856" s="166"/>
      <c r="E856" s="166"/>
    </row>
    <row r="857" spans="2:5">
      <c r="B857" s="46"/>
      <c r="C857" s="166"/>
      <c r="D857" s="166"/>
      <c r="E857" s="166"/>
    </row>
    <row r="858" spans="2:5">
      <c r="B858" s="46"/>
      <c r="C858" s="166"/>
      <c r="D858" s="166"/>
      <c r="E858" s="166"/>
    </row>
    <row r="859" spans="2:5">
      <c r="B859" s="46"/>
      <c r="C859" s="166"/>
      <c r="D859" s="166"/>
      <c r="E859" s="166"/>
    </row>
    <row r="860" spans="2:5">
      <c r="B860" s="46"/>
      <c r="C860" s="166"/>
      <c r="D860" s="166"/>
      <c r="E860" s="166"/>
    </row>
    <row r="861" spans="2:5">
      <c r="B861" s="46"/>
      <c r="C861" s="166"/>
      <c r="D861" s="166"/>
      <c r="E861" s="166"/>
    </row>
    <row r="862" spans="2:5">
      <c r="B862" s="46"/>
      <c r="C862" s="166"/>
      <c r="D862" s="166"/>
      <c r="E862" s="166"/>
    </row>
    <row r="863" spans="2:5">
      <c r="B863" s="46"/>
      <c r="C863" s="166"/>
      <c r="D863" s="166"/>
      <c r="E863" s="166"/>
    </row>
    <row r="864" spans="2:5">
      <c r="B864" s="46"/>
      <c r="C864" s="166"/>
      <c r="D864" s="166"/>
      <c r="E864" s="166"/>
    </row>
    <row r="865" spans="2:5">
      <c r="B865" s="46"/>
      <c r="C865" s="166"/>
      <c r="D865" s="166"/>
      <c r="E865" s="166"/>
    </row>
    <row r="866" spans="2:5">
      <c r="B866" s="46"/>
      <c r="C866" s="166"/>
      <c r="D866" s="166"/>
      <c r="E866" s="166"/>
    </row>
    <row r="867" spans="2:5">
      <c r="B867" s="46"/>
      <c r="C867" s="166"/>
      <c r="D867" s="166"/>
      <c r="E867" s="166"/>
    </row>
    <row r="868" spans="2:5">
      <c r="B868" s="46"/>
      <c r="C868" s="166"/>
      <c r="D868" s="166"/>
      <c r="E868" s="166"/>
    </row>
    <row r="869" spans="2:5">
      <c r="B869" s="46"/>
      <c r="C869" s="166"/>
      <c r="D869" s="166"/>
      <c r="E869" s="166"/>
    </row>
    <row r="870" spans="2:5">
      <c r="B870" s="46"/>
      <c r="C870" s="166"/>
      <c r="D870" s="166"/>
      <c r="E870" s="166"/>
    </row>
    <row r="871" spans="2:5">
      <c r="B871" s="46"/>
      <c r="C871" s="166"/>
      <c r="D871" s="166"/>
      <c r="E871" s="166"/>
    </row>
    <row r="872" spans="2:5">
      <c r="B872" s="46"/>
      <c r="C872" s="166"/>
      <c r="D872" s="166"/>
      <c r="E872" s="166"/>
    </row>
    <row r="873" spans="2:5">
      <c r="B873" s="46"/>
      <c r="C873" s="166"/>
      <c r="D873" s="166"/>
      <c r="E873" s="166"/>
    </row>
    <row r="874" spans="2:5">
      <c r="B874" s="46"/>
      <c r="C874" s="166"/>
      <c r="D874" s="166"/>
      <c r="E874" s="166"/>
    </row>
    <row r="875" spans="2:5">
      <c r="B875" s="46"/>
      <c r="C875" s="166"/>
      <c r="D875" s="166"/>
      <c r="E875" s="166"/>
    </row>
    <row r="876" spans="2:5">
      <c r="B876" s="46"/>
      <c r="C876" s="166"/>
      <c r="D876" s="166"/>
      <c r="E876" s="166"/>
    </row>
    <row r="877" spans="2:5">
      <c r="B877" s="46"/>
      <c r="C877" s="166"/>
      <c r="D877" s="166"/>
      <c r="E877" s="166"/>
    </row>
    <row r="878" spans="2:5">
      <c r="B878" s="46"/>
      <c r="C878" s="166"/>
      <c r="D878" s="166"/>
      <c r="E878" s="166"/>
    </row>
    <row r="879" spans="2:5">
      <c r="B879" s="46"/>
      <c r="C879" s="166"/>
      <c r="D879" s="166"/>
      <c r="E879" s="166"/>
    </row>
    <row r="880" spans="2:5">
      <c r="B880" s="46"/>
      <c r="C880" s="166"/>
      <c r="D880" s="166"/>
      <c r="E880" s="166"/>
    </row>
    <row r="881" spans="2:5">
      <c r="B881" s="46"/>
      <c r="C881" s="166"/>
      <c r="D881" s="166"/>
      <c r="E881" s="166"/>
    </row>
    <row r="882" spans="2:5">
      <c r="B882" s="46"/>
      <c r="C882" s="166"/>
      <c r="D882" s="166"/>
      <c r="E882" s="166"/>
    </row>
    <row r="883" spans="2:5">
      <c r="B883" s="46"/>
      <c r="C883" s="166"/>
      <c r="D883" s="166"/>
      <c r="E883" s="166"/>
    </row>
    <row r="884" spans="2:5">
      <c r="B884" s="46"/>
      <c r="C884" s="166"/>
      <c r="D884" s="166"/>
      <c r="E884" s="166"/>
    </row>
    <row r="885" spans="2:5">
      <c r="B885" s="46"/>
      <c r="C885" s="166"/>
      <c r="D885" s="166"/>
      <c r="E885" s="166"/>
    </row>
    <row r="886" spans="2:5">
      <c r="B886" s="46"/>
      <c r="C886" s="166"/>
      <c r="D886" s="166"/>
      <c r="E886" s="166"/>
    </row>
    <row r="887" spans="2:5">
      <c r="B887" s="46"/>
      <c r="C887" s="166"/>
      <c r="D887" s="166"/>
      <c r="E887" s="166"/>
    </row>
    <row r="888" spans="2:5">
      <c r="B888" s="46"/>
      <c r="C888" s="166"/>
      <c r="D888" s="166"/>
      <c r="E888" s="166"/>
    </row>
    <row r="889" spans="2:5">
      <c r="B889" s="46"/>
      <c r="C889" s="166"/>
      <c r="D889" s="166"/>
      <c r="E889" s="166"/>
    </row>
    <row r="890" spans="2:5">
      <c r="B890" s="46"/>
      <c r="C890" s="166"/>
      <c r="D890" s="166"/>
      <c r="E890" s="166"/>
    </row>
    <row r="891" spans="2:5">
      <c r="B891" s="46"/>
      <c r="C891" s="166"/>
      <c r="D891" s="166"/>
      <c r="E891" s="166"/>
    </row>
    <row r="892" spans="2:5">
      <c r="B892" s="46"/>
      <c r="C892" s="166"/>
      <c r="D892" s="166"/>
      <c r="E892" s="166"/>
    </row>
    <row r="893" spans="2:5">
      <c r="B893" s="46"/>
      <c r="C893" s="166"/>
      <c r="D893" s="166"/>
      <c r="E893" s="166"/>
    </row>
    <row r="894" spans="2:5">
      <c r="B894" s="46"/>
      <c r="C894" s="166"/>
      <c r="D894" s="166"/>
      <c r="E894" s="166"/>
    </row>
    <row r="895" spans="2:5">
      <c r="B895" s="46"/>
      <c r="C895" s="166"/>
      <c r="D895" s="166"/>
      <c r="E895" s="166"/>
    </row>
    <row r="896" spans="2:5">
      <c r="B896" s="46"/>
      <c r="C896" s="166"/>
      <c r="D896" s="166"/>
      <c r="E896" s="166"/>
    </row>
    <row r="897" spans="2:5">
      <c r="B897" s="46"/>
      <c r="C897" s="166"/>
      <c r="D897" s="166"/>
      <c r="E897" s="166"/>
    </row>
    <row r="898" spans="2:5">
      <c r="B898" s="46"/>
      <c r="C898" s="166"/>
      <c r="D898" s="166"/>
      <c r="E898" s="166"/>
    </row>
    <row r="899" spans="2:5">
      <c r="B899" s="46"/>
      <c r="C899" s="166"/>
      <c r="D899" s="166"/>
      <c r="E899" s="166"/>
    </row>
    <row r="900" spans="2:5">
      <c r="B900" s="46"/>
      <c r="C900" s="166"/>
      <c r="D900" s="166"/>
      <c r="E900" s="166"/>
    </row>
    <row r="901" spans="2:5">
      <c r="B901" s="46"/>
      <c r="C901" s="166"/>
      <c r="D901" s="166"/>
      <c r="E901" s="166"/>
    </row>
    <row r="902" spans="2:5">
      <c r="B902" s="46"/>
      <c r="C902" s="166"/>
      <c r="D902" s="166"/>
      <c r="E902" s="166"/>
    </row>
    <row r="903" spans="2:5">
      <c r="B903" s="46"/>
      <c r="C903" s="166"/>
      <c r="D903" s="166"/>
      <c r="E903" s="166"/>
    </row>
    <row r="904" spans="2:5">
      <c r="B904" s="46"/>
      <c r="C904" s="166"/>
      <c r="D904" s="166"/>
      <c r="E904" s="166"/>
    </row>
    <row r="905" spans="2:5">
      <c r="B905" s="46"/>
      <c r="C905" s="166"/>
      <c r="D905" s="166"/>
      <c r="E905" s="166"/>
    </row>
    <row r="906" spans="2:5">
      <c r="B906" s="46"/>
      <c r="C906" s="166"/>
      <c r="D906" s="166"/>
      <c r="E906" s="166"/>
    </row>
    <row r="907" spans="2:5">
      <c r="B907" s="46"/>
      <c r="C907" s="166"/>
      <c r="D907" s="166"/>
      <c r="E907" s="166"/>
    </row>
    <row r="908" spans="2:5">
      <c r="B908" s="46"/>
      <c r="C908" s="166"/>
      <c r="D908" s="166"/>
      <c r="E908" s="166"/>
    </row>
    <row r="909" spans="2:5">
      <c r="B909" s="46"/>
      <c r="C909" s="166"/>
      <c r="D909" s="166"/>
      <c r="E909" s="166"/>
    </row>
    <row r="910" spans="2:5">
      <c r="B910" s="46"/>
      <c r="C910" s="166"/>
      <c r="D910" s="166"/>
      <c r="E910" s="166"/>
    </row>
    <row r="911" spans="2:5">
      <c r="B911" s="46"/>
      <c r="C911" s="166"/>
      <c r="D911" s="166"/>
      <c r="E911" s="166"/>
    </row>
    <row r="912" spans="2:5">
      <c r="B912" s="46"/>
      <c r="C912" s="166"/>
      <c r="D912" s="166"/>
      <c r="E912" s="166"/>
    </row>
    <row r="913" spans="2:5">
      <c r="B913" s="46"/>
      <c r="C913" s="166"/>
      <c r="D913" s="166"/>
      <c r="E913" s="166"/>
    </row>
    <row r="914" spans="2:5">
      <c r="B914" s="46"/>
      <c r="C914" s="166"/>
      <c r="D914" s="166"/>
      <c r="E914" s="166"/>
    </row>
    <row r="915" spans="2:5">
      <c r="B915" s="46"/>
      <c r="C915" s="166"/>
      <c r="D915" s="166"/>
      <c r="E915" s="166"/>
    </row>
    <row r="916" spans="2:5">
      <c r="B916" s="46"/>
      <c r="C916" s="166"/>
      <c r="D916" s="166"/>
      <c r="E916" s="166"/>
    </row>
    <row r="917" spans="2:5">
      <c r="B917" s="46"/>
      <c r="C917" s="166"/>
      <c r="D917" s="166"/>
      <c r="E917" s="166"/>
    </row>
    <row r="918" spans="2:5">
      <c r="B918" s="46"/>
      <c r="C918" s="166"/>
      <c r="D918" s="166"/>
      <c r="E918" s="166"/>
    </row>
    <row r="919" spans="2:5">
      <c r="B919" s="46"/>
      <c r="C919" s="166"/>
      <c r="D919" s="166"/>
      <c r="E919" s="166"/>
    </row>
    <row r="920" spans="2:5">
      <c r="B920" s="46"/>
      <c r="C920" s="166"/>
      <c r="D920" s="166"/>
      <c r="E920" s="166"/>
    </row>
    <row r="921" spans="2:5">
      <c r="B921" s="46"/>
      <c r="C921" s="166"/>
      <c r="D921" s="166"/>
      <c r="E921" s="166"/>
    </row>
    <row r="922" spans="2:5">
      <c r="B922" s="46"/>
      <c r="C922" s="166"/>
      <c r="D922" s="166"/>
      <c r="E922" s="166"/>
    </row>
    <row r="923" spans="2:5">
      <c r="B923" s="46"/>
      <c r="C923" s="166"/>
      <c r="D923" s="166"/>
      <c r="E923" s="166"/>
    </row>
    <row r="924" spans="2:5">
      <c r="B924" s="46"/>
      <c r="C924" s="166"/>
      <c r="D924" s="166"/>
      <c r="E924" s="166"/>
    </row>
    <row r="925" spans="2:5">
      <c r="B925" s="46"/>
      <c r="C925" s="166"/>
      <c r="D925" s="166"/>
      <c r="E925" s="166"/>
    </row>
    <row r="926" spans="2:5">
      <c r="B926" s="46"/>
      <c r="C926" s="166"/>
      <c r="D926" s="166"/>
      <c r="E926" s="166"/>
    </row>
    <row r="927" spans="2:5">
      <c r="B927" s="46"/>
      <c r="C927" s="166"/>
      <c r="D927" s="166"/>
      <c r="E927" s="166"/>
    </row>
    <row r="928" spans="2:5">
      <c r="B928" s="46"/>
      <c r="C928" s="166"/>
      <c r="D928" s="166"/>
      <c r="E928" s="166"/>
    </row>
    <row r="929" spans="2:5">
      <c r="B929" s="46"/>
      <c r="C929" s="166"/>
      <c r="D929" s="166"/>
      <c r="E929" s="166"/>
    </row>
    <row r="930" spans="2:5">
      <c r="B930" s="46"/>
      <c r="C930" s="166"/>
      <c r="D930" s="166"/>
      <c r="E930" s="166"/>
    </row>
    <row r="931" spans="2:5">
      <c r="B931" s="46"/>
      <c r="C931" s="166"/>
      <c r="D931" s="166"/>
      <c r="E931" s="166"/>
    </row>
    <row r="932" spans="2:5">
      <c r="B932" s="46"/>
      <c r="C932" s="166"/>
      <c r="D932" s="166"/>
      <c r="E932" s="166"/>
    </row>
    <row r="933" spans="2:5">
      <c r="B933" s="46"/>
      <c r="C933" s="166"/>
      <c r="D933" s="166"/>
      <c r="E933" s="166"/>
    </row>
    <row r="934" spans="2:5">
      <c r="B934" s="46"/>
      <c r="C934" s="166"/>
      <c r="D934" s="166"/>
      <c r="E934" s="166"/>
    </row>
    <row r="935" spans="2:5">
      <c r="B935" s="46"/>
      <c r="C935" s="166"/>
      <c r="D935" s="166"/>
      <c r="E935" s="166"/>
    </row>
    <row r="936" spans="2:5">
      <c r="B936" s="46"/>
      <c r="C936" s="166"/>
      <c r="D936" s="166"/>
      <c r="E936" s="166"/>
    </row>
    <row r="937" spans="2:5">
      <c r="B937" s="46"/>
      <c r="C937" s="166"/>
      <c r="D937" s="166"/>
      <c r="E937" s="166"/>
    </row>
    <row r="938" spans="2:5">
      <c r="B938" s="46"/>
      <c r="C938" s="166"/>
      <c r="D938" s="166"/>
      <c r="E938" s="166"/>
    </row>
    <row r="939" spans="2:5">
      <c r="B939" s="46"/>
      <c r="C939" s="166"/>
      <c r="D939" s="166"/>
      <c r="E939" s="166"/>
    </row>
    <row r="940" spans="2:5">
      <c r="B940" s="46"/>
      <c r="C940" s="166"/>
      <c r="D940" s="166"/>
      <c r="E940" s="166"/>
    </row>
    <row r="941" spans="2:5">
      <c r="B941" s="46"/>
      <c r="C941" s="166"/>
      <c r="D941" s="166"/>
      <c r="E941" s="166"/>
    </row>
    <row r="942" spans="2:5">
      <c r="B942" s="46"/>
      <c r="C942" s="166"/>
      <c r="D942" s="166"/>
      <c r="E942" s="166"/>
    </row>
    <row r="943" spans="2:5">
      <c r="B943" s="46"/>
      <c r="C943" s="166"/>
      <c r="D943" s="166"/>
      <c r="E943" s="166"/>
    </row>
    <row r="944" spans="2:5">
      <c r="B944" s="46"/>
      <c r="C944" s="166"/>
      <c r="D944" s="166"/>
      <c r="E944" s="166"/>
    </row>
    <row r="945" spans="2:5">
      <c r="B945" s="46"/>
      <c r="C945" s="166"/>
      <c r="D945" s="166"/>
      <c r="E945" s="166"/>
    </row>
    <row r="946" spans="2:5">
      <c r="B946" s="46"/>
      <c r="C946" s="166"/>
      <c r="D946" s="166"/>
      <c r="E946" s="166"/>
    </row>
    <row r="947" spans="2:5">
      <c r="B947" s="46"/>
      <c r="C947" s="166"/>
      <c r="D947" s="166"/>
      <c r="E947" s="166"/>
    </row>
    <row r="948" spans="2:5">
      <c r="B948" s="46"/>
      <c r="C948" s="166"/>
      <c r="D948" s="166"/>
      <c r="E948" s="166"/>
    </row>
    <row r="949" spans="2:5">
      <c r="B949" s="46"/>
      <c r="C949" s="166"/>
      <c r="D949" s="166"/>
      <c r="E949" s="166"/>
    </row>
    <row r="950" spans="2:5">
      <c r="B950" s="46"/>
      <c r="C950" s="166"/>
      <c r="D950" s="166"/>
      <c r="E950" s="166"/>
    </row>
    <row r="951" spans="2:5">
      <c r="B951" s="46"/>
      <c r="C951" s="166"/>
      <c r="D951" s="166"/>
      <c r="E951" s="166"/>
    </row>
    <row r="952" spans="2:5">
      <c r="B952" s="46"/>
      <c r="C952" s="166"/>
      <c r="D952" s="166"/>
      <c r="E952" s="166"/>
    </row>
    <row r="953" spans="2:5">
      <c r="B953" s="46"/>
      <c r="C953" s="166"/>
      <c r="D953" s="166"/>
      <c r="E953" s="166"/>
    </row>
    <row r="954" spans="2:5">
      <c r="B954" s="46"/>
      <c r="C954" s="166"/>
      <c r="D954" s="166"/>
      <c r="E954" s="166"/>
    </row>
    <row r="955" spans="2:5">
      <c r="B955" s="46"/>
      <c r="C955" s="166"/>
      <c r="D955" s="166"/>
      <c r="E955" s="166"/>
    </row>
    <row r="956" spans="2:5">
      <c r="B956" s="46"/>
      <c r="C956" s="166"/>
      <c r="D956" s="166"/>
      <c r="E956" s="166"/>
    </row>
    <row r="957" spans="2:5">
      <c r="B957" s="46"/>
      <c r="C957" s="166"/>
      <c r="D957" s="166"/>
      <c r="E957" s="166"/>
    </row>
    <row r="958" spans="2:5">
      <c r="B958" s="46"/>
      <c r="C958" s="166"/>
      <c r="D958" s="166"/>
      <c r="E958" s="166"/>
    </row>
    <row r="959" spans="2:5">
      <c r="B959" s="46"/>
      <c r="C959" s="166"/>
      <c r="D959" s="166"/>
      <c r="E959" s="166"/>
    </row>
    <row r="960" spans="2:5">
      <c r="B960" s="46"/>
      <c r="C960" s="166"/>
      <c r="D960" s="166"/>
      <c r="E960" s="166"/>
    </row>
    <row r="961" spans="2:5">
      <c r="B961" s="46"/>
      <c r="C961" s="166"/>
      <c r="D961" s="166"/>
      <c r="E961" s="166"/>
    </row>
    <row r="962" spans="2:5">
      <c r="B962" s="46"/>
      <c r="C962" s="166"/>
      <c r="D962" s="166"/>
      <c r="E962" s="166"/>
    </row>
    <row r="963" spans="2:5">
      <c r="B963" s="46"/>
      <c r="C963" s="166"/>
      <c r="D963" s="166"/>
      <c r="E963" s="166"/>
    </row>
    <row r="964" spans="2:5">
      <c r="B964" s="46"/>
      <c r="C964" s="166"/>
      <c r="D964" s="166"/>
      <c r="E964" s="166"/>
    </row>
    <row r="965" spans="2:5">
      <c r="B965" s="46"/>
      <c r="C965" s="166"/>
      <c r="D965" s="166"/>
      <c r="E965" s="166"/>
    </row>
    <row r="966" spans="2:5">
      <c r="B966" s="46"/>
      <c r="C966" s="166"/>
      <c r="D966" s="166"/>
      <c r="E966" s="166"/>
    </row>
    <row r="967" spans="2:5">
      <c r="B967" s="46"/>
      <c r="C967" s="166"/>
      <c r="D967" s="166"/>
      <c r="E967" s="166"/>
    </row>
    <row r="968" spans="2:5">
      <c r="B968" s="46"/>
      <c r="C968" s="166"/>
      <c r="D968" s="166"/>
      <c r="E968" s="166"/>
    </row>
    <row r="969" spans="2:5">
      <c r="B969" s="46"/>
      <c r="C969" s="166"/>
      <c r="D969" s="166"/>
      <c r="E969" s="166"/>
    </row>
    <row r="970" spans="2:5">
      <c r="B970" s="46"/>
      <c r="C970" s="166"/>
      <c r="D970" s="166"/>
      <c r="E970" s="166"/>
    </row>
    <row r="971" spans="2:5">
      <c r="B971" s="46"/>
      <c r="C971" s="166"/>
      <c r="D971" s="166"/>
      <c r="E971" s="166"/>
    </row>
    <row r="972" spans="2:5">
      <c r="B972" s="46"/>
      <c r="C972" s="166"/>
      <c r="D972" s="166"/>
      <c r="E972" s="166"/>
    </row>
    <row r="973" spans="2:5">
      <c r="B973" s="46"/>
      <c r="C973" s="166"/>
      <c r="D973" s="166"/>
      <c r="E973" s="166"/>
    </row>
    <row r="974" spans="2:5">
      <c r="B974" s="46"/>
      <c r="C974" s="166"/>
      <c r="D974" s="166"/>
      <c r="E974" s="166"/>
    </row>
    <row r="975" spans="2:5">
      <c r="B975" s="46"/>
      <c r="C975" s="166"/>
      <c r="D975" s="166"/>
      <c r="E975" s="166"/>
    </row>
    <row r="976" spans="2:5">
      <c r="B976" s="46"/>
      <c r="C976" s="166"/>
      <c r="D976" s="166"/>
      <c r="E976" s="166"/>
    </row>
    <row r="977" spans="2:5">
      <c r="B977" s="46"/>
      <c r="C977" s="166"/>
      <c r="D977" s="166"/>
      <c r="E977" s="166"/>
    </row>
    <row r="978" spans="2:5">
      <c r="B978" s="46"/>
      <c r="C978" s="166"/>
      <c r="D978" s="166"/>
      <c r="E978" s="166"/>
    </row>
    <row r="979" spans="2:5">
      <c r="B979" s="46"/>
      <c r="C979" s="166"/>
      <c r="D979" s="166"/>
      <c r="E979" s="166"/>
    </row>
    <row r="980" spans="2:5">
      <c r="B980" s="46"/>
      <c r="C980" s="166"/>
      <c r="D980" s="166"/>
      <c r="E980" s="166"/>
    </row>
    <row r="981" spans="2:5">
      <c r="B981" s="46"/>
      <c r="C981" s="166"/>
      <c r="D981" s="166"/>
      <c r="E981" s="166"/>
    </row>
    <row r="982" spans="2:5">
      <c r="B982" s="46"/>
      <c r="C982" s="166"/>
      <c r="D982" s="166"/>
      <c r="E982" s="166"/>
    </row>
    <row r="983" spans="2:5">
      <c r="B983" s="46"/>
      <c r="C983" s="166"/>
      <c r="D983" s="166"/>
      <c r="E983" s="166"/>
    </row>
    <row r="984" spans="2:5">
      <c r="B984" s="46"/>
      <c r="C984" s="166"/>
      <c r="D984" s="166"/>
      <c r="E984" s="166"/>
    </row>
    <row r="985" spans="2:5">
      <c r="B985" s="46"/>
      <c r="C985" s="166"/>
      <c r="D985" s="166"/>
      <c r="E985" s="166"/>
    </row>
    <row r="986" spans="2:5">
      <c r="B986" s="46"/>
      <c r="C986" s="166"/>
      <c r="D986" s="166"/>
      <c r="E986" s="166"/>
    </row>
    <row r="987" spans="2:5">
      <c r="B987" s="46"/>
      <c r="C987" s="166"/>
      <c r="D987" s="166"/>
      <c r="E987" s="166"/>
    </row>
    <row r="988" spans="2:5">
      <c r="B988" s="46"/>
      <c r="C988" s="166"/>
      <c r="D988" s="166"/>
      <c r="E988" s="166"/>
    </row>
    <row r="989" spans="2:5">
      <c r="B989" s="46"/>
      <c r="C989" s="166"/>
      <c r="D989" s="166"/>
      <c r="E989" s="166"/>
    </row>
    <row r="990" spans="2:5">
      <c r="B990" s="46"/>
      <c r="C990" s="166"/>
      <c r="D990" s="166"/>
      <c r="E990" s="166"/>
    </row>
    <row r="991" spans="2:5">
      <c r="B991" s="46"/>
      <c r="C991" s="166"/>
      <c r="D991" s="166"/>
      <c r="E991" s="166"/>
    </row>
    <row r="992" spans="2:5">
      <c r="B992" s="46"/>
      <c r="C992" s="166"/>
      <c r="D992" s="166"/>
      <c r="E992" s="166"/>
    </row>
    <row r="993" spans="2:5">
      <c r="B993" s="46"/>
      <c r="C993" s="166"/>
      <c r="D993" s="166"/>
      <c r="E993" s="166"/>
    </row>
    <row r="994" spans="2:5">
      <c r="B994" s="46"/>
      <c r="C994" s="166"/>
      <c r="D994" s="166"/>
      <c r="E994" s="166"/>
    </row>
    <row r="995" spans="2:5">
      <c r="B995" s="46"/>
      <c r="C995" s="166"/>
      <c r="D995" s="166"/>
      <c r="E995" s="166"/>
    </row>
    <row r="996" spans="2:5">
      <c r="B996" s="46"/>
      <c r="C996" s="166"/>
      <c r="D996" s="166"/>
      <c r="E996" s="166"/>
    </row>
    <row r="997" spans="2:5">
      <c r="B997" s="46"/>
      <c r="C997" s="166"/>
      <c r="D997" s="166"/>
      <c r="E997" s="166"/>
    </row>
    <row r="998" spans="2:5">
      <c r="B998" s="46"/>
      <c r="C998" s="166"/>
      <c r="D998" s="166"/>
      <c r="E998" s="166"/>
    </row>
    <row r="999" spans="2:5">
      <c r="B999" s="46"/>
      <c r="C999" s="166"/>
      <c r="D999" s="166"/>
      <c r="E999" s="166"/>
    </row>
    <row r="1000" spans="2:5">
      <c r="B1000" s="46"/>
      <c r="C1000" s="166"/>
      <c r="D1000" s="166"/>
      <c r="E1000" s="166"/>
    </row>
    <row r="1001" spans="2:5">
      <c r="B1001" s="46"/>
      <c r="C1001" s="166"/>
      <c r="D1001" s="166"/>
      <c r="E1001" s="166"/>
    </row>
    <row r="1002" spans="2:5">
      <c r="B1002" s="46"/>
      <c r="C1002" s="166"/>
      <c r="D1002" s="166"/>
      <c r="E1002" s="166"/>
    </row>
    <row r="1003" spans="2:5">
      <c r="B1003" s="46"/>
      <c r="C1003" s="166"/>
      <c r="D1003" s="166"/>
      <c r="E1003" s="166"/>
    </row>
    <row r="1004" spans="2:5">
      <c r="B1004" s="46"/>
      <c r="C1004" s="166"/>
      <c r="D1004" s="166"/>
      <c r="E1004" s="166"/>
    </row>
    <row r="1005" spans="2:5">
      <c r="B1005" s="46"/>
      <c r="C1005" s="166"/>
      <c r="D1005" s="166"/>
      <c r="E1005" s="166"/>
    </row>
    <row r="1006" spans="2:5">
      <c r="B1006" s="46"/>
      <c r="C1006" s="166"/>
      <c r="D1006" s="166"/>
      <c r="E1006" s="166"/>
    </row>
    <row r="1007" spans="2:5">
      <c r="B1007" s="46"/>
      <c r="C1007" s="166"/>
      <c r="D1007" s="166"/>
      <c r="E1007" s="166"/>
    </row>
    <row r="1008" spans="2:5">
      <c r="B1008" s="46"/>
      <c r="C1008" s="166"/>
      <c r="D1008" s="166"/>
      <c r="E1008" s="166"/>
    </row>
    <row r="1009" spans="2:5">
      <c r="B1009" s="46"/>
      <c r="C1009" s="166"/>
      <c r="D1009" s="166"/>
      <c r="E1009" s="166"/>
    </row>
    <row r="1010" spans="2:5">
      <c r="B1010" s="46"/>
      <c r="C1010" s="166"/>
      <c r="D1010" s="166"/>
      <c r="E1010" s="166"/>
    </row>
    <row r="1011" spans="2:5">
      <c r="B1011" s="46"/>
      <c r="C1011" s="166"/>
      <c r="D1011" s="166"/>
      <c r="E1011" s="166"/>
    </row>
    <row r="1012" spans="2:5">
      <c r="B1012" s="46"/>
      <c r="C1012" s="166"/>
      <c r="D1012" s="166"/>
      <c r="E1012" s="166"/>
    </row>
    <row r="1013" spans="2:5">
      <c r="B1013" s="46"/>
      <c r="C1013" s="166"/>
      <c r="D1013" s="166"/>
      <c r="E1013" s="166"/>
    </row>
    <row r="1014" spans="2:5">
      <c r="B1014" s="46"/>
      <c r="C1014" s="166"/>
      <c r="D1014" s="166"/>
      <c r="E1014" s="166"/>
    </row>
    <row r="1015" spans="2:5">
      <c r="B1015" s="46"/>
      <c r="C1015" s="166"/>
      <c r="D1015" s="166"/>
      <c r="E1015" s="166"/>
    </row>
    <row r="1016" spans="2:5">
      <c r="B1016" s="46"/>
      <c r="C1016" s="166"/>
      <c r="D1016" s="166"/>
      <c r="E1016" s="166"/>
    </row>
    <row r="1017" spans="2:5">
      <c r="B1017" s="46"/>
      <c r="C1017" s="166"/>
      <c r="D1017" s="166"/>
      <c r="E1017" s="166"/>
    </row>
    <row r="1018" spans="2:5">
      <c r="B1018" s="46"/>
      <c r="C1018" s="166"/>
      <c r="D1018" s="166"/>
      <c r="E1018" s="166"/>
    </row>
    <row r="1019" spans="2:5">
      <c r="B1019" s="46"/>
      <c r="C1019" s="166"/>
      <c r="D1019" s="166"/>
      <c r="E1019" s="166"/>
    </row>
    <row r="1020" spans="2:5">
      <c r="B1020" s="46"/>
      <c r="C1020" s="166"/>
      <c r="D1020" s="166"/>
      <c r="E1020" s="166"/>
    </row>
    <row r="1021" spans="2:5">
      <c r="B1021" s="46"/>
      <c r="C1021" s="166"/>
      <c r="D1021" s="166"/>
      <c r="E1021" s="166"/>
    </row>
    <row r="1022" spans="2:5">
      <c r="B1022" s="46"/>
      <c r="C1022" s="166"/>
      <c r="D1022" s="166"/>
      <c r="E1022" s="166"/>
    </row>
    <row r="1023" spans="2:5">
      <c r="B1023" s="46"/>
      <c r="C1023" s="166"/>
      <c r="D1023" s="166"/>
      <c r="E1023" s="166"/>
    </row>
    <row r="1024" spans="2:5">
      <c r="B1024" s="46"/>
      <c r="C1024" s="166"/>
      <c r="D1024" s="166"/>
      <c r="E1024" s="166"/>
    </row>
    <row r="1025" spans="2:5">
      <c r="B1025" s="46"/>
      <c r="C1025" s="166"/>
      <c r="D1025" s="166"/>
      <c r="E1025" s="166"/>
    </row>
    <row r="1026" spans="2:5">
      <c r="B1026" s="46"/>
      <c r="C1026" s="166"/>
      <c r="D1026" s="166"/>
      <c r="E1026" s="166"/>
    </row>
    <row r="1027" spans="2:5">
      <c r="B1027" s="46"/>
      <c r="C1027" s="166"/>
      <c r="D1027" s="166"/>
      <c r="E1027" s="166"/>
    </row>
    <row r="1028" spans="2:5">
      <c r="B1028" s="46"/>
      <c r="C1028" s="166"/>
      <c r="D1028" s="166"/>
      <c r="E1028" s="166"/>
    </row>
    <row r="1029" spans="2:5">
      <c r="B1029" s="46"/>
      <c r="C1029" s="166"/>
      <c r="D1029" s="166"/>
      <c r="E1029" s="166"/>
    </row>
    <row r="1030" spans="2:5">
      <c r="B1030" s="46"/>
      <c r="C1030" s="166"/>
      <c r="D1030" s="166"/>
      <c r="E1030" s="166"/>
    </row>
    <row r="1031" spans="2:5">
      <c r="B1031" s="46"/>
      <c r="C1031" s="166"/>
      <c r="D1031" s="166"/>
      <c r="E1031" s="166"/>
    </row>
    <row r="1032" spans="2:5">
      <c r="B1032" s="46"/>
      <c r="C1032" s="166"/>
      <c r="D1032" s="166"/>
      <c r="E1032" s="166"/>
    </row>
    <row r="1033" spans="2:5">
      <c r="B1033" s="46"/>
      <c r="C1033" s="166"/>
      <c r="D1033" s="166"/>
      <c r="E1033" s="166"/>
    </row>
    <row r="1034" spans="2:5">
      <c r="B1034" s="46"/>
      <c r="C1034" s="166"/>
      <c r="D1034" s="166"/>
      <c r="E1034" s="166"/>
    </row>
    <row r="1035" spans="2:5">
      <c r="B1035" s="46"/>
      <c r="C1035" s="166"/>
      <c r="D1035" s="166"/>
      <c r="E1035" s="166"/>
    </row>
    <row r="1036" spans="2:5">
      <c r="B1036" s="46"/>
      <c r="C1036" s="166"/>
      <c r="D1036" s="166"/>
      <c r="E1036" s="166"/>
    </row>
    <row r="1037" spans="2:5">
      <c r="B1037" s="46"/>
      <c r="C1037" s="166"/>
      <c r="D1037" s="166"/>
      <c r="E1037" s="166"/>
    </row>
    <row r="1038" spans="2:5">
      <c r="B1038" s="46"/>
      <c r="C1038" s="166"/>
      <c r="D1038" s="166"/>
      <c r="E1038" s="166"/>
    </row>
    <row r="1039" spans="2:5">
      <c r="B1039" s="46"/>
      <c r="C1039" s="166"/>
      <c r="D1039" s="166"/>
      <c r="E1039" s="166"/>
    </row>
    <row r="1040" spans="2:5">
      <c r="B1040" s="46"/>
      <c r="C1040" s="166"/>
      <c r="D1040" s="166"/>
      <c r="E1040" s="166"/>
    </row>
    <row r="1041" spans="2:5">
      <c r="B1041" s="46"/>
      <c r="C1041" s="166"/>
      <c r="D1041" s="166"/>
      <c r="E1041" s="166"/>
    </row>
    <row r="1042" spans="2:5">
      <c r="B1042" s="46"/>
      <c r="C1042" s="166"/>
      <c r="D1042" s="166"/>
      <c r="E1042" s="166"/>
    </row>
    <row r="1043" spans="2:5">
      <c r="B1043" s="46"/>
      <c r="C1043" s="166"/>
      <c r="D1043" s="166"/>
      <c r="E1043" s="166"/>
    </row>
    <row r="1044" spans="2:5">
      <c r="B1044" s="46"/>
      <c r="C1044" s="166"/>
      <c r="D1044" s="166"/>
      <c r="E1044" s="166"/>
    </row>
    <row r="1045" spans="2:5">
      <c r="B1045" s="46"/>
      <c r="C1045" s="166"/>
      <c r="D1045" s="166"/>
      <c r="E1045" s="166"/>
    </row>
    <row r="1046" spans="2:5">
      <c r="B1046" s="46"/>
      <c r="C1046" s="166"/>
      <c r="D1046" s="166"/>
      <c r="E1046" s="166"/>
    </row>
    <row r="1047" spans="2:5">
      <c r="B1047" s="46"/>
      <c r="C1047" s="166"/>
      <c r="D1047" s="166"/>
      <c r="E1047" s="166"/>
    </row>
    <row r="1048" spans="2:5">
      <c r="B1048" s="46"/>
      <c r="C1048" s="166"/>
      <c r="D1048" s="166"/>
      <c r="E1048" s="166"/>
    </row>
    <row r="1049" spans="2:5">
      <c r="B1049" s="46"/>
      <c r="C1049" s="166"/>
      <c r="D1049" s="166"/>
      <c r="E1049" s="166"/>
    </row>
    <row r="1050" spans="2:5">
      <c r="B1050" s="46"/>
      <c r="C1050" s="166"/>
      <c r="D1050" s="166"/>
      <c r="E1050" s="166"/>
    </row>
    <row r="1051" spans="2:5">
      <c r="B1051" s="46"/>
      <c r="C1051" s="166"/>
      <c r="D1051" s="166"/>
      <c r="E1051" s="166"/>
    </row>
    <row r="1052" spans="2:5">
      <c r="B1052" s="46"/>
      <c r="C1052" s="166"/>
      <c r="D1052" s="166"/>
      <c r="E1052" s="166"/>
    </row>
    <row r="1053" spans="2:5">
      <c r="B1053" s="46"/>
      <c r="C1053" s="166"/>
      <c r="D1053" s="166"/>
      <c r="E1053" s="166"/>
    </row>
    <row r="1054" spans="2:5">
      <c r="B1054" s="46"/>
      <c r="C1054" s="166"/>
      <c r="D1054" s="166"/>
      <c r="E1054" s="166"/>
    </row>
    <row r="1055" spans="2:5">
      <c r="B1055" s="46"/>
      <c r="C1055" s="166"/>
      <c r="D1055" s="166"/>
      <c r="E1055" s="166"/>
    </row>
    <row r="1056" spans="2:5">
      <c r="B1056" s="46"/>
      <c r="C1056" s="166"/>
      <c r="D1056" s="166"/>
      <c r="E1056" s="166"/>
    </row>
    <row r="1057" spans="2:5">
      <c r="B1057" s="46"/>
      <c r="C1057" s="166"/>
      <c r="D1057" s="166"/>
      <c r="E1057" s="166"/>
    </row>
    <row r="1058" spans="2:5">
      <c r="B1058" s="46"/>
      <c r="C1058" s="166"/>
      <c r="D1058" s="166"/>
      <c r="E1058" s="166"/>
    </row>
    <row r="1059" spans="2:5">
      <c r="B1059" s="46"/>
      <c r="C1059" s="166"/>
      <c r="D1059" s="166"/>
      <c r="E1059" s="166"/>
    </row>
    <row r="1060" spans="2:5">
      <c r="B1060" s="46"/>
      <c r="C1060" s="166"/>
      <c r="D1060" s="166"/>
      <c r="E1060" s="166"/>
    </row>
    <row r="1061" spans="2:5">
      <c r="B1061" s="46"/>
      <c r="C1061" s="166"/>
      <c r="D1061" s="166"/>
      <c r="E1061" s="166"/>
    </row>
    <row r="1062" spans="2:5">
      <c r="B1062" s="46"/>
      <c r="C1062" s="166"/>
      <c r="D1062" s="166"/>
      <c r="E1062" s="166"/>
    </row>
    <row r="1063" spans="2:5">
      <c r="B1063" s="46"/>
      <c r="C1063" s="166"/>
      <c r="D1063" s="166"/>
      <c r="E1063" s="166"/>
    </row>
    <row r="1064" spans="2:5">
      <c r="B1064" s="46"/>
      <c r="C1064" s="166"/>
      <c r="D1064" s="166"/>
      <c r="E1064" s="166"/>
    </row>
    <row r="1065" spans="2:5">
      <c r="B1065" s="46"/>
      <c r="C1065" s="166"/>
      <c r="D1065" s="166"/>
      <c r="E1065" s="166"/>
    </row>
    <row r="1066" spans="2:5">
      <c r="B1066" s="46"/>
      <c r="C1066" s="166"/>
      <c r="D1066" s="166"/>
      <c r="E1066" s="166"/>
    </row>
    <row r="1067" spans="2:5">
      <c r="B1067" s="46"/>
      <c r="C1067" s="166"/>
      <c r="D1067" s="166"/>
      <c r="E1067" s="166"/>
    </row>
    <row r="1068" spans="2:5">
      <c r="B1068" s="46"/>
      <c r="C1068" s="166"/>
      <c r="D1068" s="166"/>
      <c r="E1068" s="166"/>
    </row>
    <row r="1069" spans="2:5">
      <c r="B1069" s="46"/>
      <c r="C1069" s="166"/>
      <c r="D1069" s="166"/>
      <c r="E1069" s="166"/>
    </row>
    <row r="1070" spans="2:5">
      <c r="B1070" s="46"/>
      <c r="C1070" s="166"/>
      <c r="D1070" s="166"/>
      <c r="E1070" s="166"/>
    </row>
    <row r="1071" spans="2:5">
      <c r="B1071" s="46"/>
      <c r="C1071" s="166"/>
      <c r="D1071" s="166"/>
      <c r="E1071" s="166"/>
    </row>
    <row r="1072" spans="2:5">
      <c r="B1072" s="46"/>
      <c r="C1072" s="166"/>
      <c r="D1072" s="166"/>
      <c r="E1072" s="166"/>
    </row>
    <row r="1073" spans="2:5">
      <c r="B1073" s="46"/>
      <c r="C1073" s="166"/>
      <c r="D1073" s="166"/>
      <c r="E1073" s="166"/>
    </row>
    <row r="1074" spans="2:5">
      <c r="B1074" s="46"/>
      <c r="C1074" s="166"/>
      <c r="D1074" s="166"/>
      <c r="E1074" s="166"/>
    </row>
    <row r="1075" spans="2:5">
      <c r="B1075" s="46"/>
      <c r="C1075" s="166"/>
      <c r="D1075" s="166"/>
      <c r="E1075" s="166"/>
    </row>
    <row r="1076" spans="2:5">
      <c r="B1076" s="46"/>
      <c r="C1076" s="166"/>
      <c r="D1076" s="166"/>
      <c r="E1076" s="166"/>
    </row>
    <row r="1077" spans="2:5">
      <c r="B1077" s="46"/>
      <c r="C1077" s="166"/>
      <c r="D1077" s="166"/>
      <c r="E1077" s="166"/>
    </row>
    <row r="1078" spans="2:5">
      <c r="B1078" s="46"/>
      <c r="C1078" s="166"/>
      <c r="D1078" s="166"/>
      <c r="E1078" s="166"/>
    </row>
    <row r="1079" spans="2:5">
      <c r="B1079" s="46"/>
      <c r="C1079" s="166"/>
      <c r="D1079" s="166"/>
      <c r="E1079" s="166"/>
    </row>
    <row r="1080" spans="2:5">
      <c r="B1080" s="46"/>
      <c r="C1080" s="166"/>
      <c r="D1080" s="166"/>
      <c r="E1080" s="166"/>
    </row>
    <row r="1081" spans="2:5">
      <c r="B1081" s="46"/>
      <c r="C1081" s="166"/>
      <c r="D1081" s="166"/>
      <c r="E1081" s="166"/>
    </row>
    <row r="1082" spans="2:5">
      <c r="B1082" s="46"/>
      <c r="C1082" s="166"/>
      <c r="D1082" s="166"/>
      <c r="E1082" s="166"/>
    </row>
    <row r="1083" spans="2:5">
      <c r="B1083" s="46"/>
      <c r="C1083" s="166"/>
      <c r="D1083" s="166"/>
      <c r="E1083" s="166"/>
    </row>
    <row r="1084" spans="2:5">
      <c r="B1084" s="46"/>
      <c r="C1084" s="166"/>
      <c r="D1084" s="166"/>
      <c r="E1084" s="166"/>
    </row>
    <row r="1085" spans="2:5">
      <c r="B1085" s="46"/>
      <c r="C1085" s="166"/>
      <c r="D1085" s="166"/>
      <c r="E1085" s="166"/>
    </row>
    <row r="1086" spans="2:5">
      <c r="B1086" s="46"/>
      <c r="C1086" s="166"/>
      <c r="D1086" s="166"/>
      <c r="E1086" s="166"/>
    </row>
    <row r="1087" spans="2:5">
      <c r="B1087" s="46"/>
      <c r="C1087" s="166"/>
      <c r="D1087" s="166"/>
      <c r="E1087" s="166"/>
    </row>
    <row r="1088" spans="2:5">
      <c r="B1088" s="46"/>
      <c r="C1088" s="166"/>
      <c r="D1088" s="166"/>
      <c r="E1088" s="166"/>
    </row>
    <row r="1089" spans="2:5">
      <c r="B1089" s="46"/>
      <c r="C1089" s="166"/>
      <c r="D1089" s="166"/>
      <c r="E1089" s="166"/>
    </row>
    <row r="1090" spans="2:5">
      <c r="B1090" s="46"/>
      <c r="C1090" s="166"/>
      <c r="D1090" s="166"/>
      <c r="E1090" s="166"/>
    </row>
    <row r="1091" spans="2:5">
      <c r="B1091" s="46"/>
      <c r="C1091" s="166"/>
      <c r="D1091" s="166"/>
      <c r="E1091" s="166"/>
    </row>
    <row r="1092" spans="2:5">
      <c r="B1092" s="46"/>
      <c r="C1092" s="166"/>
      <c r="D1092" s="166"/>
      <c r="E1092" s="166"/>
    </row>
    <row r="1093" spans="2:5">
      <c r="B1093" s="46"/>
      <c r="C1093" s="166"/>
      <c r="D1093" s="166"/>
      <c r="E1093" s="166"/>
    </row>
    <row r="1094" spans="2:5">
      <c r="B1094" s="46"/>
      <c r="C1094" s="166"/>
      <c r="D1094" s="166"/>
      <c r="E1094" s="166"/>
    </row>
    <row r="1095" spans="2:5">
      <c r="B1095" s="46"/>
      <c r="C1095" s="166"/>
      <c r="D1095" s="166"/>
      <c r="E1095" s="166"/>
    </row>
    <row r="1096" spans="2:5">
      <c r="B1096" s="46"/>
      <c r="C1096" s="166"/>
      <c r="D1096" s="166"/>
      <c r="E1096" s="166"/>
    </row>
    <row r="1097" spans="2:5">
      <c r="B1097" s="46"/>
      <c r="C1097" s="166"/>
      <c r="D1097" s="166"/>
      <c r="E1097" s="166"/>
    </row>
    <row r="1098" spans="2:5">
      <c r="B1098" s="46"/>
      <c r="C1098" s="166"/>
      <c r="D1098" s="166"/>
      <c r="E1098" s="166"/>
    </row>
    <row r="1099" spans="2:5">
      <c r="B1099" s="46"/>
      <c r="C1099" s="166"/>
      <c r="D1099" s="166"/>
      <c r="E1099" s="166"/>
    </row>
    <row r="1100" spans="2:5">
      <c r="B1100" s="46"/>
      <c r="C1100" s="166"/>
      <c r="D1100" s="166"/>
      <c r="E1100" s="166"/>
    </row>
    <row r="1101" spans="2:5">
      <c r="B1101" s="46"/>
      <c r="C1101" s="166"/>
      <c r="D1101" s="166"/>
      <c r="E1101" s="166"/>
    </row>
    <row r="1102" spans="2:5">
      <c r="B1102" s="46"/>
      <c r="C1102" s="166"/>
      <c r="D1102" s="166"/>
      <c r="E1102" s="166"/>
    </row>
    <row r="1103" spans="2:5">
      <c r="B1103" s="46"/>
      <c r="C1103" s="166"/>
      <c r="D1103" s="166"/>
      <c r="E1103" s="166"/>
    </row>
    <row r="1104" spans="2:5">
      <c r="B1104" s="46"/>
      <c r="C1104" s="166"/>
      <c r="D1104" s="166"/>
      <c r="E1104" s="166"/>
    </row>
    <row r="1105" spans="2:5">
      <c r="B1105" s="46"/>
      <c r="C1105" s="166"/>
      <c r="D1105" s="166"/>
      <c r="E1105" s="166"/>
    </row>
    <row r="1106" spans="2:5">
      <c r="B1106" s="46"/>
      <c r="C1106" s="166"/>
      <c r="D1106" s="166"/>
      <c r="E1106" s="166"/>
    </row>
    <row r="1107" spans="2:5">
      <c r="B1107" s="46"/>
      <c r="C1107" s="166"/>
      <c r="D1107" s="166"/>
      <c r="E1107" s="166"/>
    </row>
    <row r="1108" spans="2:5">
      <c r="B1108" s="46"/>
      <c r="C1108" s="166"/>
      <c r="D1108" s="166"/>
      <c r="E1108" s="166"/>
    </row>
    <row r="1109" spans="2:5">
      <c r="B1109" s="46"/>
      <c r="C1109" s="166"/>
      <c r="D1109" s="166"/>
      <c r="E1109" s="166"/>
    </row>
    <row r="1110" spans="2:5">
      <c r="B1110" s="46"/>
      <c r="C1110" s="166"/>
      <c r="D1110" s="166"/>
      <c r="E1110" s="166"/>
    </row>
    <row r="1111" spans="2:5">
      <c r="B1111" s="46"/>
      <c r="C1111" s="166"/>
      <c r="D1111" s="166"/>
      <c r="E1111" s="166"/>
    </row>
    <row r="1112" spans="2:5">
      <c r="B1112" s="46"/>
      <c r="C1112" s="166"/>
      <c r="D1112" s="166"/>
      <c r="E1112" s="166"/>
    </row>
    <row r="1113" spans="2:5">
      <c r="B1113" s="46"/>
      <c r="C1113" s="166"/>
      <c r="D1113" s="166"/>
      <c r="E1113" s="166"/>
    </row>
    <row r="1114" spans="2:5">
      <c r="B1114" s="46"/>
      <c r="C1114" s="166"/>
      <c r="D1114" s="166"/>
      <c r="E1114" s="166"/>
    </row>
    <row r="1115" spans="2:5">
      <c r="B1115" s="46"/>
      <c r="C1115" s="166"/>
      <c r="D1115" s="166"/>
      <c r="E1115" s="166"/>
    </row>
    <row r="1116" spans="2:5">
      <c r="B1116" s="46"/>
      <c r="C1116" s="166"/>
      <c r="D1116" s="166"/>
      <c r="E1116" s="166"/>
    </row>
    <row r="1117" spans="2:5">
      <c r="B1117" s="46"/>
      <c r="C1117" s="166"/>
      <c r="D1117" s="166"/>
      <c r="E1117" s="166"/>
    </row>
    <row r="1118" spans="2:5">
      <c r="B1118" s="46"/>
      <c r="C1118" s="166"/>
      <c r="D1118" s="166"/>
      <c r="E1118" s="166"/>
    </row>
    <row r="1119" spans="2:5">
      <c r="B1119" s="46"/>
      <c r="C1119" s="166"/>
      <c r="D1119" s="166"/>
      <c r="E1119" s="166"/>
    </row>
    <row r="1120" spans="2:5">
      <c r="B1120" s="46"/>
      <c r="C1120" s="166"/>
      <c r="D1120" s="166"/>
      <c r="E1120" s="166"/>
    </row>
    <row r="1121" spans="2:5">
      <c r="B1121" s="46"/>
      <c r="C1121" s="166"/>
      <c r="D1121" s="166"/>
      <c r="E1121" s="166"/>
    </row>
    <row r="1122" spans="2:5">
      <c r="B1122" s="46"/>
      <c r="C1122" s="166"/>
      <c r="D1122" s="166"/>
      <c r="E1122" s="166"/>
    </row>
    <row r="1123" spans="2:5">
      <c r="B1123" s="46"/>
      <c r="C1123" s="166"/>
      <c r="D1123" s="166"/>
      <c r="E1123" s="166"/>
    </row>
    <row r="1124" spans="2:5">
      <c r="B1124" s="46"/>
      <c r="C1124" s="166"/>
      <c r="D1124" s="166"/>
      <c r="E1124" s="166"/>
    </row>
    <row r="1125" spans="2:5">
      <c r="B1125" s="46"/>
      <c r="C1125" s="166"/>
      <c r="D1125" s="166"/>
      <c r="E1125" s="166"/>
    </row>
    <row r="1126" spans="2:5">
      <c r="B1126" s="46"/>
      <c r="C1126" s="166"/>
      <c r="D1126" s="166"/>
      <c r="E1126" s="166"/>
    </row>
    <row r="1127" spans="2:5">
      <c r="B1127" s="46"/>
      <c r="C1127" s="166"/>
      <c r="D1127" s="166"/>
      <c r="E1127" s="166"/>
    </row>
    <row r="1128" spans="2:5">
      <c r="B1128" s="46"/>
      <c r="C1128" s="166"/>
      <c r="D1128" s="166"/>
      <c r="E1128" s="166"/>
    </row>
    <row r="1129" spans="2:5">
      <c r="B1129" s="46"/>
      <c r="C1129" s="166"/>
      <c r="D1129" s="166"/>
      <c r="E1129" s="166"/>
    </row>
    <row r="1130" spans="2:5">
      <c r="B1130" s="46"/>
      <c r="C1130" s="166"/>
      <c r="D1130" s="166"/>
      <c r="E1130" s="166"/>
    </row>
    <row r="1131" spans="2:5">
      <c r="B1131" s="46"/>
      <c r="C1131" s="166"/>
      <c r="D1131" s="166"/>
      <c r="E1131" s="166"/>
    </row>
    <row r="1132" spans="2:5">
      <c r="B1132" s="46"/>
      <c r="C1132" s="166"/>
      <c r="D1132" s="166"/>
      <c r="E1132" s="166"/>
    </row>
    <row r="1133" spans="2:5">
      <c r="B1133" s="46"/>
      <c r="C1133" s="166"/>
      <c r="D1133" s="166"/>
      <c r="E1133" s="166"/>
    </row>
    <row r="1134" spans="2:5">
      <c r="B1134" s="46"/>
      <c r="C1134" s="166"/>
      <c r="D1134" s="166"/>
      <c r="E1134" s="166"/>
    </row>
    <row r="1135" spans="2:5">
      <c r="B1135" s="46"/>
      <c r="C1135" s="166"/>
      <c r="D1135" s="166"/>
      <c r="E1135" s="166"/>
    </row>
    <row r="1136" spans="2:5">
      <c r="B1136" s="46"/>
      <c r="C1136" s="166"/>
      <c r="D1136" s="166"/>
      <c r="E1136" s="166"/>
    </row>
    <row r="1137" spans="2:5">
      <c r="B1137" s="46"/>
      <c r="C1137" s="166"/>
      <c r="D1137" s="166"/>
      <c r="E1137" s="166"/>
    </row>
    <row r="1138" spans="2:5">
      <c r="B1138" s="46"/>
      <c r="C1138" s="166"/>
      <c r="D1138" s="166"/>
      <c r="E1138" s="166"/>
    </row>
    <row r="1139" spans="2:5">
      <c r="B1139" s="46"/>
      <c r="C1139" s="166"/>
      <c r="D1139" s="166"/>
      <c r="E1139" s="166"/>
    </row>
    <row r="1140" spans="2:5">
      <c r="B1140" s="46"/>
      <c r="C1140" s="166"/>
      <c r="D1140" s="166"/>
      <c r="E1140" s="166"/>
    </row>
    <row r="1141" spans="2:5">
      <c r="B1141" s="46"/>
      <c r="C1141" s="166"/>
      <c r="D1141" s="166"/>
      <c r="E1141" s="166"/>
    </row>
    <row r="1142" spans="2:5">
      <c r="B1142" s="46"/>
      <c r="C1142" s="166"/>
      <c r="D1142" s="166"/>
      <c r="E1142" s="166"/>
    </row>
    <row r="1143" spans="2:5">
      <c r="B1143" s="46"/>
      <c r="C1143" s="166"/>
      <c r="D1143" s="166"/>
      <c r="E1143" s="166"/>
    </row>
    <row r="1144" spans="2:5">
      <c r="B1144" s="46"/>
      <c r="C1144" s="166"/>
      <c r="D1144" s="166"/>
      <c r="E1144" s="166"/>
    </row>
    <row r="1145" spans="2:5">
      <c r="B1145" s="46"/>
      <c r="C1145" s="166"/>
      <c r="D1145" s="166"/>
      <c r="E1145" s="166"/>
    </row>
    <row r="1146" spans="2:5">
      <c r="B1146" s="46"/>
      <c r="C1146" s="166"/>
      <c r="D1146" s="166"/>
      <c r="E1146" s="166"/>
    </row>
    <row r="1147" spans="2:5">
      <c r="B1147" s="46"/>
      <c r="C1147" s="166"/>
      <c r="D1147" s="166"/>
      <c r="E1147" s="166"/>
    </row>
    <row r="1148" spans="2:5">
      <c r="B1148" s="46"/>
      <c r="C1148" s="166"/>
      <c r="D1148" s="166"/>
      <c r="E1148" s="166"/>
    </row>
    <row r="1149" spans="2:5">
      <c r="B1149" s="46"/>
      <c r="C1149" s="166"/>
      <c r="D1149" s="166"/>
      <c r="E1149" s="166"/>
    </row>
    <row r="1150" spans="2:5">
      <c r="B1150" s="46"/>
      <c r="C1150" s="166"/>
      <c r="D1150" s="166"/>
      <c r="E1150" s="166"/>
    </row>
    <row r="1151" spans="2:5">
      <c r="B1151" s="46"/>
      <c r="C1151" s="166"/>
      <c r="D1151" s="166"/>
      <c r="E1151" s="166"/>
    </row>
    <row r="1152" spans="2:5">
      <c r="B1152" s="46"/>
      <c r="C1152" s="166"/>
      <c r="D1152" s="166"/>
      <c r="E1152" s="166"/>
    </row>
    <row r="1153" spans="2:5">
      <c r="B1153" s="46"/>
      <c r="C1153" s="166"/>
      <c r="D1153" s="166"/>
      <c r="E1153" s="166"/>
    </row>
    <row r="1154" spans="2:5">
      <c r="B1154" s="46"/>
      <c r="C1154" s="166"/>
      <c r="D1154" s="166"/>
      <c r="E1154" s="166"/>
    </row>
    <row r="1155" spans="2:5">
      <c r="B1155" s="46"/>
      <c r="C1155" s="166"/>
      <c r="D1155" s="166"/>
      <c r="E1155" s="166"/>
    </row>
    <row r="1156" spans="2:5">
      <c r="B1156" s="46"/>
      <c r="C1156" s="166"/>
      <c r="D1156" s="166"/>
      <c r="E1156" s="166"/>
    </row>
    <row r="1157" spans="2:5">
      <c r="B1157" s="46"/>
      <c r="C1157" s="166"/>
      <c r="D1157" s="166"/>
      <c r="E1157" s="166"/>
    </row>
    <row r="1158" spans="2:5">
      <c r="B1158" s="46"/>
      <c r="C1158" s="166"/>
      <c r="D1158" s="166"/>
      <c r="E1158" s="166"/>
    </row>
    <row r="1159" spans="2:5">
      <c r="B1159" s="46"/>
      <c r="C1159" s="166"/>
      <c r="D1159" s="166"/>
      <c r="E1159" s="166"/>
    </row>
    <row r="1160" spans="2:5">
      <c r="B1160" s="46"/>
      <c r="C1160" s="166"/>
      <c r="D1160" s="166"/>
      <c r="E1160" s="166"/>
    </row>
    <row r="1161" spans="2:5">
      <c r="B1161" s="46"/>
      <c r="C1161" s="166"/>
      <c r="D1161" s="166"/>
      <c r="E1161" s="166"/>
    </row>
    <row r="1162" spans="2:5">
      <c r="B1162" s="46"/>
      <c r="C1162" s="166"/>
      <c r="D1162" s="166"/>
      <c r="E1162" s="166"/>
    </row>
    <row r="1163" spans="2:5">
      <c r="B1163" s="46"/>
      <c r="C1163" s="166"/>
      <c r="D1163" s="166"/>
      <c r="E1163" s="166"/>
    </row>
    <row r="1164" spans="2:5">
      <c r="B1164" s="46"/>
      <c r="C1164" s="166"/>
      <c r="D1164" s="166"/>
      <c r="E1164" s="166"/>
    </row>
    <row r="1165" spans="2:5">
      <c r="B1165" s="46"/>
      <c r="C1165" s="166"/>
      <c r="D1165" s="166"/>
      <c r="E1165" s="166"/>
    </row>
    <row r="1166" spans="2:5">
      <c r="B1166" s="46"/>
      <c r="C1166" s="166"/>
      <c r="D1166" s="166"/>
      <c r="E1166" s="166"/>
    </row>
    <row r="1167" spans="2:5">
      <c r="B1167" s="46"/>
      <c r="C1167" s="166"/>
      <c r="D1167" s="166"/>
      <c r="E1167" s="166"/>
    </row>
    <row r="1168" spans="2:5">
      <c r="B1168" s="46"/>
      <c r="C1168" s="166"/>
      <c r="D1168" s="166"/>
      <c r="E1168" s="166"/>
    </row>
    <row r="1169" spans="2:5">
      <c r="B1169" s="46"/>
      <c r="C1169" s="166"/>
      <c r="D1169" s="166"/>
      <c r="E1169" s="166"/>
    </row>
    <row r="1170" spans="2:5">
      <c r="B1170" s="46"/>
      <c r="C1170" s="166"/>
      <c r="D1170" s="166"/>
      <c r="E1170" s="166"/>
    </row>
    <row r="1171" spans="2:5">
      <c r="B1171" s="46"/>
      <c r="C1171" s="166"/>
      <c r="D1171" s="166"/>
      <c r="E1171" s="166"/>
    </row>
    <row r="1172" spans="2:5">
      <c r="B1172" s="46"/>
      <c r="C1172" s="166"/>
      <c r="D1172" s="166"/>
      <c r="E1172" s="166"/>
    </row>
    <row r="1173" spans="2:5">
      <c r="B1173" s="46"/>
      <c r="C1173" s="166"/>
      <c r="D1173" s="166"/>
      <c r="E1173" s="166"/>
    </row>
    <row r="1174" spans="2:5">
      <c r="B1174" s="46"/>
      <c r="C1174" s="166"/>
      <c r="D1174" s="166"/>
      <c r="E1174" s="166"/>
    </row>
    <row r="1175" spans="2:5">
      <c r="B1175" s="46"/>
      <c r="C1175" s="166"/>
      <c r="D1175" s="166"/>
      <c r="E1175" s="166"/>
    </row>
    <row r="1176" spans="2:5">
      <c r="B1176" s="46"/>
      <c r="C1176" s="166"/>
      <c r="D1176" s="166"/>
      <c r="E1176" s="166"/>
    </row>
    <row r="1177" spans="2:5">
      <c r="B1177" s="46"/>
      <c r="C1177" s="166"/>
      <c r="D1177" s="166"/>
      <c r="E1177" s="166"/>
    </row>
    <row r="1178" spans="2:5">
      <c r="B1178" s="46"/>
      <c r="C1178" s="166"/>
      <c r="D1178" s="166"/>
      <c r="E1178" s="166"/>
    </row>
    <row r="1179" spans="2:5">
      <c r="B1179" s="46"/>
      <c r="C1179" s="166"/>
      <c r="D1179" s="166"/>
      <c r="E1179" s="166"/>
    </row>
    <row r="1180" spans="2:5">
      <c r="B1180" s="46"/>
      <c r="C1180" s="166"/>
      <c r="D1180" s="166"/>
      <c r="E1180" s="166"/>
    </row>
    <row r="1181" spans="2:5">
      <c r="B1181" s="46"/>
      <c r="C1181" s="166"/>
      <c r="D1181" s="166"/>
      <c r="E1181" s="166"/>
    </row>
    <row r="1182" spans="2:5">
      <c r="B1182" s="46"/>
      <c r="C1182" s="166"/>
      <c r="D1182" s="166"/>
      <c r="E1182" s="166"/>
    </row>
    <row r="1183" spans="2:5">
      <c r="B1183" s="46"/>
      <c r="C1183" s="166"/>
      <c r="D1183" s="166"/>
      <c r="E1183" s="166"/>
    </row>
    <row r="1184" spans="2:5">
      <c r="B1184" s="46"/>
      <c r="C1184" s="166"/>
      <c r="D1184" s="166"/>
      <c r="E1184" s="166"/>
    </row>
    <row r="1185" spans="2:5">
      <c r="B1185" s="46"/>
      <c r="C1185" s="166"/>
      <c r="D1185" s="166"/>
      <c r="E1185" s="166"/>
    </row>
    <row r="1186" spans="2:5">
      <c r="B1186" s="46"/>
      <c r="C1186" s="166"/>
      <c r="D1186" s="166"/>
      <c r="E1186" s="166"/>
    </row>
    <row r="1187" spans="2:5">
      <c r="B1187" s="46"/>
      <c r="C1187" s="166"/>
      <c r="D1187" s="166"/>
      <c r="E1187" s="166"/>
    </row>
    <row r="1188" spans="2:5">
      <c r="B1188" s="46"/>
      <c r="C1188" s="166"/>
      <c r="D1188" s="166"/>
      <c r="E1188" s="166"/>
    </row>
    <row r="1189" spans="2:5">
      <c r="B1189" s="46"/>
      <c r="C1189" s="166"/>
      <c r="D1189" s="166"/>
      <c r="E1189" s="166"/>
    </row>
    <row r="1190" spans="2:5">
      <c r="B1190" s="46"/>
      <c r="C1190" s="166"/>
      <c r="D1190" s="166"/>
      <c r="E1190" s="166"/>
    </row>
    <row r="1191" spans="2:5">
      <c r="B1191" s="46"/>
      <c r="C1191" s="166"/>
      <c r="D1191" s="166"/>
      <c r="E1191" s="166"/>
    </row>
    <row r="1192" spans="2:5">
      <c r="B1192" s="46"/>
      <c r="C1192" s="166"/>
      <c r="D1192" s="166"/>
      <c r="E1192" s="166"/>
    </row>
    <row r="1193" spans="2:5">
      <c r="B1193" s="46"/>
      <c r="C1193" s="166"/>
      <c r="D1193" s="166"/>
      <c r="E1193" s="166"/>
    </row>
    <row r="1194" spans="2:5">
      <c r="B1194" s="46"/>
      <c r="C1194" s="166"/>
      <c r="D1194" s="166"/>
      <c r="E1194" s="166"/>
    </row>
    <row r="1195" spans="2:5">
      <c r="B1195" s="46"/>
      <c r="C1195" s="166"/>
      <c r="D1195" s="166"/>
      <c r="E1195" s="166"/>
    </row>
    <row r="1196" spans="2:5">
      <c r="B1196" s="46"/>
      <c r="C1196" s="166"/>
      <c r="D1196" s="166"/>
      <c r="E1196" s="166"/>
    </row>
    <row r="1197" spans="2:5">
      <c r="B1197" s="46"/>
      <c r="C1197" s="166"/>
      <c r="D1197" s="166"/>
      <c r="E1197" s="166"/>
    </row>
    <row r="1198" spans="2:5">
      <c r="B1198" s="46"/>
      <c r="C1198" s="166"/>
      <c r="D1198" s="166"/>
      <c r="E1198" s="166"/>
    </row>
    <row r="1199" spans="2:5">
      <c r="B1199" s="46"/>
      <c r="C1199" s="166"/>
      <c r="D1199" s="166"/>
      <c r="E1199" s="166"/>
    </row>
    <row r="1200" spans="2:5">
      <c r="B1200" s="46"/>
      <c r="C1200" s="166"/>
      <c r="D1200" s="166"/>
      <c r="E1200" s="166"/>
    </row>
    <row r="1201" spans="2:5">
      <c r="B1201" s="46"/>
      <c r="C1201" s="166"/>
      <c r="D1201" s="166"/>
      <c r="E1201" s="166"/>
    </row>
    <row r="1202" spans="2:5">
      <c r="B1202" s="46"/>
      <c r="C1202" s="166"/>
      <c r="D1202" s="166"/>
      <c r="E1202" s="166"/>
    </row>
    <row r="1203" spans="2:5">
      <c r="B1203" s="46"/>
      <c r="C1203" s="166"/>
      <c r="D1203" s="166"/>
      <c r="E1203" s="166"/>
    </row>
    <row r="1204" spans="2:5">
      <c r="B1204" s="46"/>
      <c r="C1204" s="166"/>
      <c r="D1204" s="166"/>
      <c r="E1204" s="166"/>
    </row>
    <row r="1205" spans="2:5">
      <c r="B1205" s="46"/>
      <c r="C1205" s="166"/>
      <c r="D1205" s="166"/>
      <c r="E1205" s="166"/>
    </row>
    <row r="1206" spans="2:5">
      <c r="B1206" s="46"/>
      <c r="C1206" s="166"/>
      <c r="D1206" s="166"/>
      <c r="E1206" s="166"/>
    </row>
    <row r="1207" spans="2:5">
      <c r="B1207" s="46"/>
      <c r="C1207" s="166"/>
      <c r="D1207" s="166"/>
      <c r="E1207" s="166"/>
    </row>
    <row r="1208" spans="2:5">
      <c r="B1208" s="46"/>
      <c r="C1208" s="166"/>
      <c r="D1208" s="166"/>
      <c r="E1208" s="166"/>
    </row>
    <row r="1209" spans="2:5">
      <c r="B1209" s="46"/>
      <c r="C1209" s="166"/>
      <c r="D1209" s="166"/>
      <c r="E1209" s="166"/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813"/>
  <sheetViews>
    <sheetView workbookViewId="0"/>
  </sheetViews>
  <sheetFormatPr baseColWidth="10" defaultColWidth="11.42578125" defaultRowHeight="11.25"/>
  <cols>
    <col min="1" max="2" width="11.42578125" style="104"/>
    <col min="3" max="3" width="13.42578125" style="104" bestFit="1" customWidth="1"/>
    <col min="4" max="9" width="11.42578125" style="104"/>
    <col min="10" max="10" width="11.42578125" style="192"/>
    <col min="11" max="16384" width="11.42578125" style="104"/>
  </cols>
  <sheetData>
    <row r="2" spans="2:11">
      <c r="B2" s="142" t="s">
        <v>24</v>
      </c>
    </row>
    <row r="3" spans="2:11" ht="22.5">
      <c r="B3" s="193" t="s">
        <v>28</v>
      </c>
      <c r="C3" s="194" t="s">
        <v>29</v>
      </c>
      <c r="D3" s="208"/>
      <c r="E3" s="195" t="s">
        <v>30</v>
      </c>
      <c r="F3" s="195" t="s">
        <v>31</v>
      </c>
      <c r="G3" s="194" t="s">
        <v>32</v>
      </c>
      <c r="H3" s="196"/>
      <c r="I3" s="197"/>
      <c r="J3" s="147"/>
    </row>
    <row r="4" spans="2:11">
      <c r="B4" s="198" t="s">
        <v>162</v>
      </c>
      <c r="C4" s="199">
        <f>Dat_02!B3</f>
        <v>45444</v>
      </c>
      <c r="D4" s="198"/>
      <c r="E4" s="200">
        <f>Dat_02!C3</f>
        <v>40.377900895550802</v>
      </c>
      <c r="F4" s="200">
        <f>Dat_02!D3</f>
        <v>62.145020957620687</v>
      </c>
      <c r="G4" s="200">
        <f>Dat_02!E3</f>
        <v>40.377900895550802</v>
      </c>
      <c r="I4" s="201">
        <f>Dat_02!G3</f>
        <v>0</v>
      </c>
      <c r="J4" s="207">
        <f>IF(Dat_02!H3=0,"",Dat_02!H3)</f>
        <v>2024</v>
      </c>
      <c r="K4" s="104">
        <f>IF(J4=0,"",J4)</f>
        <v>2024</v>
      </c>
    </row>
    <row r="5" spans="2:11">
      <c r="B5" s="198"/>
      <c r="C5" s="199">
        <f>Dat_02!B4</f>
        <v>45445</v>
      </c>
      <c r="D5" s="198"/>
      <c r="E5" s="200">
        <f>Dat_02!C4</f>
        <v>37.02979080555081</v>
      </c>
      <c r="F5" s="200">
        <f>Dat_02!D4</f>
        <v>62.145020957620687</v>
      </c>
      <c r="G5" s="200">
        <f>Dat_02!E4</f>
        <v>37.02979080555081</v>
      </c>
      <c r="I5" s="201">
        <f>Dat_02!G4</f>
        <v>0</v>
      </c>
      <c r="J5" s="207" t="str">
        <f>IF(Dat_02!H4=0,"",Dat_02!H4)</f>
        <v/>
      </c>
    </row>
    <row r="6" spans="2:11">
      <c r="B6" s="198"/>
      <c r="C6" s="199">
        <f>Dat_02!B5</f>
        <v>45446</v>
      </c>
      <c r="D6" s="198"/>
      <c r="E6" s="200">
        <f>Dat_02!C5</f>
        <v>67.751569642548944</v>
      </c>
      <c r="F6" s="200">
        <f>Dat_02!D5</f>
        <v>62.145020957620687</v>
      </c>
      <c r="G6" s="200">
        <f>Dat_02!E5</f>
        <v>62.145020957620687</v>
      </c>
      <c r="I6" s="201">
        <f>Dat_02!G5</f>
        <v>0</v>
      </c>
      <c r="J6" s="207" t="str">
        <f>IF(Dat_02!H5=0,"",Dat_02!H5)</f>
        <v/>
      </c>
    </row>
    <row r="7" spans="2:11">
      <c r="B7" s="198"/>
      <c r="C7" s="199">
        <f>Dat_02!B6</f>
        <v>45447</v>
      </c>
      <c r="D7" s="198"/>
      <c r="E7" s="200">
        <f>Dat_02!C6</f>
        <v>98.805928746552667</v>
      </c>
      <c r="F7" s="200">
        <f>Dat_02!D6</f>
        <v>62.145020957620687</v>
      </c>
      <c r="G7" s="200">
        <f>Dat_02!E6</f>
        <v>62.145020957620687</v>
      </c>
      <c r="I7" s="201">
        <f>Dat_02!G6</f>
        <v>0</v>
      </c>
      <c r="J7" s="207" t="str">
        <f>IF(Dat_02!H6=0,"",Dat_02!H6)</f>
        <v/>
      </c>
    </row>
    <row r="8" spans="2:11">
      <c r="B8" s="198"/>
      <c r="C8" s="199">
        <f>Dat_02!B7</f>
        <v>45448</v>
      </c>
      <c r="D8" s="198"/>
      <c r="E8" s="200">
        <f>Dat_02!C7</f>
        <v>79.432074932758439</v>
      </c>
      <c r="F8" s="200">
        <f>Dat_02!D7</f>
        <v>62.145020957620687</v>
      </c>
      <c r="G8" s="200">
        <f>Dat_02!E7</f>
        <v>62.145020957620687</v>
      </c>
      <c r="I8" s="201">
        <f>Dat_02!G7</f>
        <v>0</v>
      </c>
      <c r="J8" s="207" t="str">
        <f>IF(Dat_02!H7=0,"",Dat_02!H7)</f>
        <v/>
      </c>
    </row>
    <row r="9" spans="2:11">
      <c r="B9" s="198"/>
      <c r="C9" s="199">
        <f>Dat_02!B8</f>
        <v>45449</v>
      </c>
      <c r="D9" s="198"/>
      <c r="E9" s="200">
        <f>Dat_02!C8</f>
        <v>69.188575634758436</v>
      </c>
      <c r="F9" s="200">
        <f>Dat_02!D8</f>
        <v>62.145020957620687</v>
      </c>
      <c r="G9" s="200">
        <f>Dat_02!E8</f>
        <v>62.145020957620687</v>
      </c>
      <c r="I9" s="201">
        <f>Dat_02!G8</f>
        <v>0</v>
      </c>
      <c r="J9" s="207" t="str">
        <f>IF(Dat_02!H8=0,"",Dat_02!H8)</f>
        <v/>
      </c>
    </row>
    <row r="10" spans="2:11">
      <c r="B10" s="198"/>
      <c r="C10" s="199">
        <f>Dat_02!B9</f>
        <v>45450</v>
      </c>
      <c r="D10" s="198"/>
      <c r="E10" s="200">
        <f>Dat_02!C9</f>
        <v>70.878695622756581</v>
      </c>
      <c r="F10" s="200">
        <f>Dat_02!D9</f>
        <v>62.145020957620687</v>
      </c>
      <c r="G10" s="200">
        <f>Dat_02!E9</f>
        <v>62.145020957620687</v>
      </c>
      <c r="I10" s="201">
        <f>Dat_02!G9</f>
        <v>0</v>
      </c>
      <c r="J10" s="207" t="str">
        <f>IF(Dat_02!H9=0,"",Dat_02!H9)</f>
        <v/>
      </c>
    </row>
    <row r="11" spans="2:11">
      <c r="B11" s="198"/>
      <c r="C11" s="199">
        <f>Dat_02!B10</f>
        <v>45451</v>
      </c>
      <c r="D11" s="198"/>
      <c r="E11" s="200">
        <f>Dat_02!C10</f>
        <v>50.981575186758434</v>
      </c>
      <c r="F11" s="200">
        <f>Dat_02!D10</f>
        <v>62.145020957620687</v>
      </c>
      <c r="G11" s="200">
        <f>Dat_02!E10</f>
        <v>50.981575186758434</v>
      </c>
      <c r="I11" s="201">
        <f>Dat_02!G10</f>
        <v>0</v>
      </c>
      <c r="J11" s="207" t="str">
        <f>IF(Dat_02!H10=0,"",Dat_02!H10)</f>
        <v/>
      </c>
    </row>
    <row r="12" spans="2:11">
      <c r="B12" s="198"/>
      <c r="C12" s="199">
        <f>Dat_02!B11</f>
        <v>45452</v>
      </c>
      <c r="D12" s="198"/>
      <c r="E12" s="200">
        <f>Dat_02!C11</f>
        <v>20.362609987756571</v>
      </c>
      <c r="F12" s="200">
        <f>Dat_02!D11</f>
        <v>62.145020957620687</v>
      </c>
      <c r="G12" s="200">
        <f>Dat_02!E11</f>
        <v>20.362609987756571</v>
      </c>
      <c r="I12" s="201">
        <f>Dat_02!G11</f>
        <v>0</v>
      </c>
      <c r="J12" s="207" t="str">
        <f>IF(Dat_02!H11=0,"",Dat_02!H11)</f>
        <v/>
      </c>
    </row>
    <row r="13" spans="2:11">
      <c r="B13" s="198"/>
      <c r="C13" s="199">
        <f>Dat_02!B12</f>
        <v>45453</v>
      </c>
      <c r="D13" s="198"/>
      <c r="E13" s="200">
        <f>Dat_02!C12</f>
        <v>36.739903890758434</v>
      </c>
      <c r="F13" s="200">
        <f>Dat_02!D12</f>
        <v>62.145020957620687</v>
      </c>
      <c r="G13" s="200">
        <f>Dat_02!E12</f>
        <v>36.739903890758434</v>
      </c>
      <c r="I13" s="201">
        <f>Dat_02!G12</f>
        <v>0</v>
      </c>
      <c r="J13" s="207" t="str">
        <f>IF(Dat_02!H12=0,"",Dat_02!H12)</f>
        <v/>
      </c>
    </row>
    <row r="14" spans="2:11">
      <c r="B14" s="198"/>
      <c r="C14" s="199">
        <f>Dat_02!B13</f>
        <v>45454</v>
      </c>
      <c r="D14" s="198"/>
      <c r="E14" s="200">
        <f>Dat_02!C13</f>
        <v>39.157048026758439</v>
      </c>
      <c r="F14" s="200">
        <f>Dat_02!D13</f>
        <v>62.145020957620687</v>
      </c>
      <c r="G14" s="200">
        <f>Dat_02!E13</f>
        <v>39.157048026758439</v>
      </c>
      <c r="I14" s="201">
        <f>Dat_02!G13</f>
        <v>0</v>
      </c>
      <c r="J14" s="207" t="str">
        <f>IF(Dat_02!H13=0,"",Dat_02!H13)</f>
        <v/>
      </c>
    </row>
    <row r="15" spans="2:11">
      <c r="B15" s="198"/>
      <c r="C15" s="199">
        <f>Dat_02!B14</f>
        <v>45455</v>
      </c>
      <c r="D15" s="198"/>
      <c r="E15" s="200">
        <f>Dat_02!C14</f>
        <v>60.845410224167765</v>
      </c>
      <c r="F15" s="200">
        <f>Dat_02!D14</f>
        <v>62.145020957620687</v>
      </c>
      <c r="G15" s="200">
        <f>Dat_02!E14</f>
        <v>60.845410224167765</v>
      </c>
      <c r="I15" s="201">
        <f>Dat_02!G14</f>
        <v>0</v>
      </c>
      <c r="J15" s="207" t="str">
        <f>IF(Dat_02!H14=0,"",Dat_02!H14)</f>
        <v/>
      </c>
    </row>
    <row r="16" spans="2:11">
      <c r="B16" s="198"/>
      <c r="C16" s="199">
        <f>Dat_02!B15</f>
        <v>45456</v>
      </c>
      <c r="D16" s="198"/>
      <c r="E16" s="200">
        <f>Dat_02!C15</f>
        <v>66.206468161169624</v>
      </c>
      <c r="F16" s="200">
        <f>Dat_02!D15</f>
        <v>62.145020957620687</v>
      </c>
      <c r="G16" s="200">
        <f>Dat_02!E15</f>
        <v>62.145020957620687</v>
      </c>
      <c r="I16" s="201">
        <f>Dat_02!G15</f>
        <v>0</v>
      </c>
      <c r="J16" s="207" t="str">
        <f>IF(Dat_02!H15=0,"",Dat_02!H15)</f>
        <v/>
      </c>
    </row>
    <row r="17" spans="2:10">
      <c r="B17" s="198"/>
      <c r="C17" s="199">
        <f>Dat_02!B16</f>
        <v>45457</v>
      </c>
      <c r="D17" s="198"/>
      <c r="E17" s="200">
        <f>Dat_02!C16</f>
        <v>57.264168413165898</v>
      </c>
      <c r="F17" s="200">
        <f>Dat_02!D16</f>
        <v>62.145020957620687</v>
      </c>
      <c r="G17" s="200">
        <f>Dat_02!E16</f>
        <v>57.264168413165898</v>
      </c>
      <c r="I17" s="201">
        <f>Dat_02!G16</f>
        <v>0</v>
      </c>
      <c r="J17" s="207" t="str">
        <f>IF(Dat_02!H16=0,"",Dat_02!H16)</f>
        <v/>
      </c>
    </row>
    <row r="18" spans="2:10">
      <c r="B18" s="198"/>
      <c r="C18" s="199">
        <f>Dat_02!B17</f>
        <v>45458</v>
      </c>
      <c r="D18" s="198"/>
      <c r="E18" s="200">
        <f>Dat_02!C17</f>
        <v>31.127024317171482</v>
      </c>
      <c r="F18" s="200">
        <f>Dat_02!D17</f>
        <v>62.145020957620687</v>
      </c>
      <c r="G18" s="200">
        <f>Dat_02!E17</f>
        <v>31.127024317171482</v>
      </c>
      <c r="I18" s="201">
        <f>Dat_02!G17</f>
        <v>62.145020957620687</v>
      </c>
      <c r="J18" s="207" t="str">
        <f>IF(Dat_02!H17=0,"",Dat_02!H17)</f>
        <v/>
      </c>
    </row>
    <row r="19" spans="2:10">
      <c r="B19" s="198"/>
      <c r="C19" s="199">
        <f>Dat_02!B18</f>
        <v>45459</v>
      </c>
      <c r="D19" s="198"/>
      <c r="E19" s="200">
        <f>Dat_02!C18</f>
        <v>37.974406523165896</v>
      </c>
      <c r="F19" s="200">
        <f>Dat_02!D18</f>
        <v>62.145020957620687</v>
      </c>
      <c r="G19" s="200">
        <f>Dat_02!E18</f>
        <v>37.974406523165896</v>
      </c>
      <c r="I19" s="201">
        <f>Dat_02!G18</f>
        <v>0</v>
      </c>
      <c r="J19" s="207" t="str">
        <f>IF(Dat_02!H18=0,"",Dat_02!H18)</f>
        <v/>
      </c>
    </row>
    <row r="20" spans="2:10">
      <c r="B20" s="198"/>
      <c r="C20" s="199">
        <f>Dat_02!B19</f>
        <v>45460</v>
      </c>
      <c r="D20" s="198"/>
      <c r="E20" s="200">
        <f>Dat_02!C19</f>
        <v>59.228509084169623</v>
      </c>
      <c r="F20" s="200">
        <f>Dat_02!D19</f>
        <v>62.145020957620687</v>
      </c>
      <c r="G20" s="200">
        <f>Dat_02!E19</f>
        <v>59.228509084169623</v>
      </c>
      <c r="I20" s="201">
        <f>Dat_02!G19</f>
        <v>0</v>
      </c>
      <c r="J20" s="207" t="str">
        <f>IF(Dat_02!H19=0,"",Dat_02!H19)</f>
        <v/>
      </c>
    </row>
    <row r="21" spans="2:10">
      <c r="B21" s="198"/>
      <c r="C21" s="199">
        <f>Dat_02!B20</f>
        <v>45461</v>
      </c>
      <c r="D21" s="198"/>
      <c r="E21" s="200">
        <f>Dat_02!C20</f>
        <v>81.494912965169632</v>
      </c>
      <c r="F21" s="200">
        <f>Dat_02!D20</f>
        <v>62.145020957620687</v>
      </c>
      <c r="G21" s="200">
        <f>Dat_02!E20</f>
        <v>62.145020957620687</v>
      </c>
      <c r="I21" s="201">
        <f>Dat_02!G20</f>
        <v>0</v>
      </c>
      <c r="J21" s="207" t="str">
        <f>IF(Dat_02!H20=0,"",Dat_02!H20)</f>
        <v/>
      </c>
    </row>
    <row r="22" spans="2:10">
      <c r="B22" s="198"/>
      <c r="C22" s="199">
        <f>Dat_02!B21</f>
        <v>45462</v>
      </c>
      <c r="D22" s="198"/>
      <c r="E22" s="200">
        <f>Dat_02!C21</f>
        <v>86.923513643855273</v>
      </c>
      <c r="F22" s="200">
        <f>Dat_02!D21</f>
        <v>62.145020957620687</v>
      </c>
      <c r="G22" s="200">
        <f>Dat_02!E21</f>
        <v>62.145020957620687</v>
      </c>
      <c r="I22" s="201">
        <f>Dat_02!G21</f>
        <v>0</v>
      </c>
      <c r="J22" s="207" t="str">
        <f>IF(Dat_02!H21=0,"",Dat_02!H21)</f>
        <v/>
      </c>
    </row>
    <row r="23" spans="2:10">
      <c r="B23" s="198"/>
      <c r="C23" s="199">
        <f>Dat_02!B22</f>
        <v>45463</v>
      </c>
      <c r="D23" s="198"/>
      <c r="E23" s="200">
        <f>Dat_02!C22</f>
        <v>75.492146505858997</v>
      </c>
      <c r="F23" s="200">
        <f>Dat_02!D22</f>
        <v>62.145020957620687</v>
      </c>
      <c r="G23" s="200">
        <f>Dat_02!E22</f>
        <v>62.145020957620687</v>
      </c>
      <c r="I23" s="201">
        <f>Dat_02!G22</f>
        <v>0</v>
      </c>
      <c r="J23" s="207" t="str">
        <f>IF(Dat_02!H22=0,"",Dat_02!H22)</f>
        <v/>
      </c>
    </row>
    <row r="24" spans="2:10">
      <c r="B24" s="198"/>
      <c r="C24" s="199">
        <f>Dat_02!B23</f>
        <v>45464</v>
      </c>
      <c r="D24" s="198"/>
      <c r="E24" s="200">
        <f>Dat_02!C23</f>
        <v>73.267400409853408</v>
      </c>
      <c r="F24" s="200">
        <f>Dat_02!D23</f>
        <v>62.145020957620687</v>
      </c>
      <c r="G24" s="200">
        <f>Dat_02!E23</f>
        <v>62.145020957620687</v>
      </c>
      <c r="I24" s="201">
        <f>Dat_02!G23</f>
        <v>0</v>
      </c>
      <c r="J24" s="207" t="str">
        <f>IF(Dat_02!H23=0,"",Dat_02!H23)</f>
        <v/>
      </c>
    </row>
    <row r="25" spans="2:10">
      <c r="B25" s="198"/>
      <c r="C25" s="199">
        <f>Dat_02!B24</f>
        <v>45465</v>
      </c>
      <c r="D25" s="198"/>
      <c r="E25" s="200">
        <f>Dat_02!C24</f>
        <v>49.069099326860858</v>
      </c>
      <c r="F25" s="200">
        <f>Dat_02!D24</f>
        <v>62.145020957620687</v>
      </c>
      <c r="G25" s="200">
        <f>Dat_02!E24</f>
        <v>49.069099326860858</v>
      </c>
      <c r="I25" s="201">
        <f>Dat_02!G24</f>
        <v>0</v>
      </c>
      <c r="J25" s="207" t="str">
        <f>IF(Dat_02!H24=0,"",Dat_02!H24)</f>
        <v/>
      </c>
    </row>
    <row r="26" spans="2:10">
      <c r="B26" s="198"/>
      <c r="C26" s="199">
        <f>Dat_02!B25</f>
        <v>45466</v>
      </c>
      <c r="D26" s="198"/>
      <c r="E26" s="200">
        <f>Dat_02!C25</f>
        <v>35.045765844855275</v>
      </c>
      <c r="F26" s="200">
        <f>Dat_02!D25</f>
        <v>62.145020957620687</v>
      </c>
      <c r="G26" s="200">
        <f>Dat_02!E25</f>
        <v>35.045765844855275</v>
      </c>
      <c r="I26" s="201">
        <f>Dat_02!G25</f>
        <v>0</v>
      </c>
      <c r="J26" s="207" t="str">
        <f>IF(Dat_02!H25=0,"",Dat_02!H25)</f>
        <v/>
      </c>
    </row>
    <row r="27" spans="2:10">
      <c r="B27" s="198"/>
      <c r="C27" s="199">
        <f>Dat_02!B26</f>
        <v>45467</v>
      </c>
      <c r="D27" s="198"/>
      <c r="E27" s="200">
        <f>Dat_02!C26</f>
        <v>54.089537297859003</v>
      </c>
      <c r="F27" s="200">
        <f>Dat_02!D26</f>
        <v>62.145020957620687</v>
      </c>
      <c r="G27" s="200">
        <f>Dat_02!E26</f>
        <v>54.089537297859003</v>
      </c>
      <c r="I27" s="201">
        <f>Dat_02!G26</f>
        <v>0</v>
      </c>
      <c r="J27" s="207" t="str">
        <f>IF(Dat_02!H26=0,"",Dat_02!H26)</f>
        <v/>
      </c>
    </row>
    <row r="28" spans="2:10">
      <c r="B28" s="198"/>
      <c r="C28" s="199">
        <f>Dat_02!B27</f>
        <v>45468</v>
      </c>
      <c r="D28" s="198"/>
      <c r="E28" s="200">
        <f>Dat_02!C27</f>
        <v>69.452281835855274</v>
      </c>
      <c r="F28" s="200">
        <f>Dat_02!D27</f>
        <v>62.145020957620687</v>
      </c>
      <c r="G28" s="200">
        <f>Dat_02!E27</f>
        <v>62.145020957620687</v>
      </c>
      <c r="I28" s="201">
        <f>Dat_02!G27</f>
        <v>0</v>
      </c>
      <c r="J28" s="207" t="str">
        <f>IF(Dat_02!H27=0,"",Dat_02!H27)</f>
        <v/>
      </c>
    </row>
    <row r="29" spans="2:10">
      <c r="B29" s="198"/>
      <c r="C29" s="199">
        <f>Dat_02!B28</f>
        <v>45469</v>
      </c>
      <c r="D29" s="198"/>
      <c r="E29" s="200">
        <f>Dat_02!C28</f>
        <v>62.754375802933225</v>
      </c>
      <c r="F29" s="200">
        <f>Dat_02!D28</f>
        <v>62.145020957620687</v>
      </c>
      <c r="G29" s="200">
        <f>Dat_02!E28</f>
        <v>62.145020957620687</v>
      </c>
      <c r="I29" s="201">
        <f>Dat_02!G28</f>
        <v>0</v>
      </c>
      <c r="J29" s="207" t="str">
        <f>IF(Dat_02!H28=0,"",Dat_02!H28)</f>
        <v/>
      </c>
    </row>
    <row r="30" spans="2:10">
      <c r="B30" s="198"/>
      <c r="C30" s="199">
        <f>Dat_02!B29</f>
        <v>45470</v>
      </c>
      <c r="D30" s="198"/>
      <c r="E30" s="200">
        <f>Dat_02!C29</f>
        <v>58.297634420935076</v>
      </c>
      <c r="F30" s="200">
        <f>Dat_02!D29</f>
        <v>62.145020957620687</v>
      </c>
      <c r="G30" s="200">
        <f>Dat_02!E29</f>
        <v>58.297634420935076</v>
      </c>
      <c r="I30" s="201">
        <f>Dat_02!G29</f>
        <v>0</v>
      </c>
      <c r="J30" s="207" t="str">
        <f>IF(Dat_02!H29=0,"",Dat_02!H29)</f>
        <v/>
      </c>
    </row>
    <row r="31" spans="2:10">
      <c r="B31" s="198"/>
      <c r="C31" s="199">
        <f>Dat_02!B30</f>
        <v>45471</v>
      </c>
      <c r="D31" s="198"/>
      <c r="E31" s="200">
        <f>Dat_02!C30</f>
        <v>52.009208182935076</v>
      </c>
      <c r="F31" s="200">
        <f>Dat_02!D30</f>
        <v>62.145020957620687</v>
      </c>
      <c r="G31" s="200">
        <f>Dat_02!E30</f>
        <v>52.009208182935076</v>
      </c>
      <c r="I31" s="201">
        <f>Dat_02!G30</f>
        <v>0</v>
      </c>
      <c r="J31" s="207" t="str">
        <f>IF(Dat_02!H30=0,"",Dat_02!H30)</f>
        <v/>
      </c>
    </row>
    <row r="32" spans="2:10">
      <c r="B32" s="198"/>
      <c r="C32" s="199">
        <f>Dat_02!B31</f>
        <v>45472</v>
      </c>
      <c r="D32" s="198"/>
      <c r="E32" s="200">
        <f>Dat_02!C31</f>
        <v>34.695431029936955</v>
      </c>
      <c r="F32" s="200">
        <f>Dat_02!D31</f>
        <v>62.145020957620687</v>
      </c>
      <c r="G32" s="200">
        <f>Dat_02!E31</f>
        <v>34.695431029936955</v>
      </c>
      <c r="I32" s="201">
        <f>Dat_02!G31</f>
        <v>0</v>
      </c>
      <c r="J32" s="207" t="str">
        <f>IF(Dat_02!H31=0,"",Dat_02!H31)</f>
        <v/>
      </c>
    </row>
    <row r="33" spans="2:10">
      <c r="B33" s="198"/>
      <c r="C33" s="199">
        <f>Dat_02!B32</f>
        <v>45473</v>
      </c>
      <c r="D33" s="198"/>
      <c r="E33" s="200">
        <f>Dat_02!C32</f>
        <v>31.637069029933219</v>
      </c>
      <c r="F33" s="200">
        <f>Dat_02!D32</f>
        <v>62.145020957620687</v>
      </c>
      <c r="G33" s="200">
        <f>Dat_02!E32</f>
        <v>31.637069029933219</v>
      </c>
      <c r="I33" s="201">
        <f>Dat_02!G32</f>
        <v>0</v>
      </c>
      <c r="J33" s="207" t="str">
        <f>IF(Dat_02!H32=0,"",Dat_02!H32)</f>
        <v/>
      </c>
    </row>
    <row r="34" spans="2:10">
      <c r="B34" s="198"/>
      <c r="C34" s="199">
        <f>Dat_02!B33</f>
        <v>45474</v>
      </c>
      <c r="D34" s="198"/>
      <c r="E34" s="200">
        <f>Dat_02!C33</f>
        <v>21.495916996933222</v>
      </c>
      <c r="F34" s="200">
        <f>Dat_02!D33</f>
        <v>25.910326049029329</v>
      </c>
      <c r="G34" s="200">
        <f>Dat_02!E33</f>
        <v>21.495916996933222</v>
      </c>
      <c r="I34" s="201">
        <f>Dat_02!G33</f>
        <v>0</v>
      </c>
      <c r="J34" s="207" t="str">
        <f>IF(Dat_02!H33=0,"",Dat_02!H33)</f>
        <v/>
      </c>
    </row>
    <row r="35" spans="2:10">
      <c r="B35" s="198" t="s">
        <v>168</v>
      </c>
      <c r="C35" s="199">
        <f>Dat_02!B34</f>
        <v>45475</v>
      </c>
      <c r="D35" s="198"/>
      <c r="E35" s="200">
        <f>Dat_02!C34</f>
        <v>34.492029538935078</v>
      </c>
      <c r="F35" s="200">
        <f>Dat_02!D34</f>
        <v>25.910326049029329</v>
      </c>
      <c r="G35" s="200">
        <f>Dat_02!E34</f>
        <v>25.910326049029329</v>
      </c>
      <c r="I35" s="201">
        <f>Dat_02!G34</f>
        <v>0</v>
      </c>
      <c r="J35" s="207" t="str">
        <f>IF(Dat_02!H34=0,"",Dat_02!H34)</f>
        <v/>
      </c>
    </row>
    <row r="36" spans="2:10">
      <c r="B36" s="198"/>
      <c r="C36" s="199">
        <f>Dat_02!B35</f>
        <v>45476</v>
      </c>
      <c r="D36" s="198"/>
      <c r="E36" s="200">
        <f>Dat_02!C35</f>
        <v>52.16376323260716</v>
      </c>
      <c r="F36" s="200">
        <f>Dat_02!D35</f>
        <v>25.910326049029329</v>
      </c>
      <c r="G36" s="200">
        <f>Dat_02!E35</f>
        <v>25.910326049029329</v>
      </c>
      <c r="I36" s="201">
        <f>Dat_02!G35</f>
        <v>0</v>
      </c>
      <c r="J36" s="207" t="str">
        <f>IF(Dat_02!H35=0,"",Dat_02!H35)</f>
        <v/>
      </c>
    </row>
    <row r="37" spans="2:10">
      <c r="B37" s="198"/>
      <c r="C37" s="199">
        <f>Dat_02!B36</f>
        <v>45477</v>
      </c>
      <c r="D37" s="198"/>
      <c r="E37" s="200">
        <f>Dat_02!C36</f>
        <v>44.163039307609026</v>
      </c>
      <c r="F37" s="200">
        <f>Dat_02!D36</f>
        <v>25.910326049029329</v>
      </c>
      <c r="G37" s="200">
        <f>Dat_02!E36</f>
        <v>25.910326049029329</v>
      </c>
      <c r="I37" s="201">
        <f>Dat_02!G36</f>
        <v>0</v>
      </c>
      <c r="J37" s="207" t="str">
        <f>IF(Dat_02!H36=0,"",Dat_02!H36)</f>
        <v/>
      </c>
    </row>
    <row r="38" spans="2:10">
      <c r="B38" s="198"/>
      <c r="C38" s="199">
        <f>Dat_02!B37</f>
        <v>45478</v>
      </c>
      <c r="D38" s="198"/>
      <c r="E38" s="200">
        <f>Dat_02!C37</f>
        <v>45.345475433607163</v>
      </c>
      <c r="F38" s="200">
        <f>Dat_02!D37</f>
        <v>25.910326049029329</v>
      </c>
      <c r="G38" s="200">
        <f>Dat_02!E37</f>
        <v>25.910326049029329</v>
      </c>
      <c r="I38" s="201">
        <f>Dat_02!G37</f>
        <v>0</v>
      </c>
      <c r="J38" s="207" t="str">
        <f>IF(Dat_02!H37=0,"",Dat_02!H37)</f>
        <v/>
      </c>
    </row>
    <row r="39" spans="2:10">
      <c r="B39" s="198"/>
      <c r="C39" s="199">
        <f>Dat_02!B38</f>
        <v>45479</v>
      </c>
      <c r="D39" s="198"/>
      <c r="E39" s="200">
        <f>Dat_02!C38</f>
        <v>15.12081097160717</v>
      </c>
      <c r="F39" s="200">
        <f>Dat_02!D38</f>
        <v>25.910326049029329</v>
      </c>
      <c r="G39" s="200">
        <f>Dat_02!E38</f>
        <v>15.12081097160717</v>
      </c>
      <c r="I39" s="201">
        <f>Dat_02!G38</f>
        <v>0</v>
      </c>
      <c r="J39" s="207" t="str">
        <f>IF(Dat_02!H38=0,"",Dat_02!H38)</f>
        <v/>
      </c>
    </row>
    <row r="40" spans="2:10">
      <c r="B40" s="198"/>
      <c r="C40" s="199">
        <f>Dat_02!B39</f>
        <v>45480</v>
      </c>
      <c r="D40" s="198"/>
      <c r="E40" s="200">
        <f>Dat_02!C39</f>
        <v>19.39214861760717</v>
      </c>
      <c r="F40" s="200">
        <f>Dat_02!D39</f>
        <v>25.910326049029329</v>
      </c>
      <c r="G40" s="200">
        <f>Dat_02!E39</f>
        <v>19.39214861760717</v>
      </c>
      <c r="I40" s="201">
        <f>Dat_02!G39</f>
        <v>0</v>
      </c>
      <c r="J40" s="207" t="str">
        <f>IF(Dat_02!H39=0,"",Dat_02!H39)</f>
        <v/>
      </c>
    </row>
    <row r="41" spans="2:10">
      <c r="B41" s="198"/>
      <c r="C41" s="199">
        <f>Dat_02!B40</f>
        <v>45481</v>
      </c>
      <c r="D41" s="198"/>
      <c r="E41" s="200">
        <f>Dat_02!C40</f>
        <v>35.733574139609033</v>
      </c>
      <c r="F41" s="200">
        <f>Dat_02!D40</f>
        <v>25.910326049029329</v>
      </c>
      <c r="G41" s="200">
        <f>Dat_02!E40</f>
        <v>25.910326049029329</v>
      </c>
      <c r="I41" s="201">
        <f>Dat_02!G40</f>
        <v>0</v>
      </c>
      <c r="J41" s="207" t="str">
        <f>IF(Dat_02!H40=0,"",Dat_02!H40)</f>
        <v/>
      </c>
    </row>
    <row r="42" spans="2:10">
      <c r="B42" s="198"/>
      <c r="C42" s="199">
        <f>Dat_02!B41</f>
        <v>45482</v>
      </c>
      <c r="D42" s="198"/>
      <c r="E42" s="200">
        <f>Dat_02!C41</f>
        <v>42.921010012607162</v>
      </c>
      <c r="F42" s="200">
        <f>Dat_02!D41</f>
        <v>25.910326049029329</v>
      </c>
      <c r="G42" s="200">
        <f>Dat_02!E41</f>
        <v>25.910326049029329</v>
      </c>
      <c r="I42" s="201">
        <f>Dat_02!G41</f>
        <v>0</v>
      </c>
      <c r="J42" s="207" t="str">
        <f>IF(Dat_02!H41=0,"",Dat_02!H41)</f>
        <v/>
      </c>
    </row>
    <row r="43" spans="2:10">
      <c r="B43" s="198"/>
      <c r="C43" s="199">
        <f>Dat_02!B42</f>
        <v>45483</v>
      </c>
      <c r="D43" s="198"/>
      <c r="E43" s="200">
        <f>Dat_02!C42</f>
        <v>42.444933230845052</v>
      </c>
      <c r="F43" s="200">
        <f>Dat_02!D42</f>
        <v>25.910326049029329</v>
      </c>
      <c r="G43" s="200">
        <f>Dat_02!E42</f>
        <v>25.910326049029329</v>
      </c>
      <c r="I43" s="201">
        <f>Dat_02!G42</f>
        <v>0</v>
      </c>
      <c r="J43" s="207" t="str">
        <f>IF(Dat_02!H42=0,"",Dat_02!H42)</f>
        <v/>
      </c>
    </row>
    <row r="44" spans="2:10">
      <c r="B44" s="198"/>
      <c r="C44" s="199">
        <f>Dat_02!B43</f>
        <v>45484</v>
      </c>
      <c r="D44" s="198"/>
      <c r="E44" s="200">
        <f>Dat_02!C43</f>
        <v>42.768076100841327</v>
      </c>
      <c r="F44" s="200">
        <f>Dat_02!D43</f>
        <v>25.910326049029329</v>
      </c>
      <c r="G44" s="200">
        <f>Dat_02!E43</f>
        <v>25.910326049029329</v>
      </c>
      <c r="I44" s="201">
        <f>Dat_02!G43</f>
        <v>0</v>
      </c>
      <c r="J44" s="207" t="str">
        <f>IF(Dat_02!H43=0,"",Dat_02!H43)</f>
        <v/>
      </c>
    </row>
    <row r="45" spans="2:10">
      <c r="B45" s="198"/>
      <c r="C45" s="199">
        <f>Dat_02!B44</f>
        <v>45485</v>
      </c>
      <c r="D45" s="198"/>
      <c r="E45" s="200">
        <f>Dat_02!C44</f>
        <v>27.577513094843191</v>
      </c>
      <c r="F45" s="200">
        <f>Dat_02!D44</f>
        <v>25.910326049029329</v>
      </c>
      <c r="G45" s="200">
        <f>Dat_02!E44</f>
        <v>25.910326049029329</v>
      </c>
      <c r="I45" s="201">
        <f>Dat_02!G44</f>
        <v>0</v>
      </c>
      <c r="J45" s="207" t="str">
        <f>IF(Dat_02!H44=0,"",Dat_02!H44)</f>
        <v/>
      </c>
    </row>
    <row r="46" spans="2:10">
      <c r="B46" s="198"/>
      <c r="C46" s="199">
        <f>Dat_02!B45</f>
        <v>45486</v>
      </c>
      <c r="D46" s="198"/>
      <c r="E46" s="200">
        <f>Dat_02!C45</f>
        <v>13.606924256841332</v>
      </c>
      <c r="F46" s="200">
        <f>Dat_02!D45</f>
        <v>25.910326049029329</v>
      </c>
      <c r="G46" s="200">
        <f>Dat_02!E45</f>
        <v>13.606924256841332</v>
      </c>
      <c r="I46" s="201">
        <f>Dat_02!G45</f>
        <v>0</v>
      </c>
      <c r="J46" s="207" t="str">
        <f>IF(Dat_02!H45=0,"",Dat_02!H45)</f>
        <v/>
      </c>
    </row>
    <row r="47" spans="2:10">
      <c r="B47" s="198"/>
      <c r="C47" s="199">
        <f>Dat_02!B46</f>
        <v>45487</v>
      </c>
      <c r="D47" s="198"/>
      <c r="E47" s="200">
        <f>Dat_02!C46</f>
        <v>5.4347649878450541</v>
      </c>
      <c r="F47" s="200">
        <f>Dat_02!D46</f>
        <v>25.910326049029329</v>
      </c>
      <c r="G47" s="200">
        <f>Dat_02!E46</f>
        <v>5.4347649878450541</v>
      </c>
      <c r="I47" s="201">
        <f>Dat_02!G46</f>
        <v>0</v>
      </c>
      <c r="J47" s="207" t="str">
        <f>IF(Dat_02!H46=0,"",Dat_02!H46)</f>
        <v/>
      </c>
    </row>
    <row r="48" spans="2:10">
      <c r="B48" s="198"/>
      <c r="C48" s="199">
        <f>Dat_02!B47</f>
        <v>45488</v>
      </c>
      <c r="D48" s="198"/>
      <c r="E48" s="200">
        <f>Dat_02!C47</f>
        <v>11.368316333841328</v>
      </c>
      <c r="F48" s="200">
        <f>Dat_02!D47</f>
        <v>25.910326049029329</v>
      </c>
      <c r="G48" s="200">
        <f>Dat_02!E47</f>
        <v>11.368316333841328</v>
      </c>
      <c r="I48" s="201">
        <f>Dat_02!G47</f>
        <v>0</v>
      </c>
      <c r="J48" s="207" t="str">
        <f>IF(Dat_02!H47=0,"",Dat_02!H47)</f>
        <v/>
      </c>
    </row>
    <row r="49" spans="2:10">
      <c r="B49" s="198"/>
      <c r="C49" s="199">
        <f>Dat_02!B48</f>
        <v>45489</v>
      </c>
      <c r="D49" s="198"/>
      <c r="E49" s="200">
        <f>Dat_02!C48</f>
        <v>34.957289322846918</v>
      </c>
      <c r="F49" s="200">
        <f>Dat_02!D48</f>
        <v>25.910326049029329</v>
      </c>
      <c r="G49" s="200">
        <f>Dat_02!E48</f>
        <v>25.910326049029329</v>
      </c>
      <c r="I49" s="201" t="str">
        <f>Dat_02!G48</f>
        <v/>
      </c>
      <c r="J49" s="207" t="str">
        <f>IF(Dat_02!H48=0,"",Dat_02!H48)</f>
        <v/>
      </c>
    </row>
    <row r="50" spans="2:10">
      <c r="B50" s="198"/>
      <c r="C50" s="199">
        <f>Dat_02!B49</f>
        <v>45490</v>
      </c>
      <c r="D50" s="198"/>
      <c r="E50" s="200">
        <f>Dat_02!C49</f>
        <v>27.107350574998883</v>
      </c>
      <c r="F50" s="200">
        <f>Dat_02!D49</f>
        <v>25.910326049029329</v>
      </c>
      <c r="G50" s="200">
        <f>Dat_02!E49</f>
        <v>25.910326049029329</v>
      </c>
      <c r="I50" s="201">
        <f>Dat_02!G49</f>
        <v>0</v>
      </c>
      <c r="J50" s="207" t="str">
        <f>IF(Dat_02!H49=0,"",Dat_02!H49)</f>
        <v/>
      </c>
    </row>
    <row r="51" spans="2:10">
      <c r="B51" s="198"/>
      <c r="C51" s="199">
        <f>Dat_02!B50</f>
        <v>45491</v>
      </c>
      <c r="D51" s="198"/>
      <c r="E51" s="200">
        <f>Dat_02!C50</f>
        <v>47.384967555000735</v>
      </c>
      <c r="F51" s="200">
        <f>Dat_02!D50</f>
        <v>25.910326049029329</v>
      </c>
      <c r="G51" s="200">
        <f>Dat_02!E50</f>
        <v>25.910326049029329</v>
      </c>
      <c r="I51" s="201">
        <f>Dat_02!G50</f>
        <v>0</v>
      </c>
      <c r="J51" s="207" t="str">
        <f>IF(Dat_02!H50=0,"",Dat_02!H50)</f>
        <v/>
      </c>
    </row>
    <row r="52" spans="2:10">
      <c r="B52" s="198"/>
      <c r="C52" s="199">
        <f>Dat_02!B51</f>
        <v>45492</v>
      </c>
      <c r="D52" s="198"/>
      <c r="E52" s="200">
        <f>Dat_02!C51</f>
        <v>32.610105791002596</v>
      </c>
      <c r="F52" s="200">
        <f>Dat_02!D51</f>
        <v>25.910326049029329</v>
      </c>
      <c r="G52" s="200">
        <f>Dat_02!E51</f>
        <v>25.910326049029329</v>
      </c>
      <c r="I52" s="201">
        <f>Dat_02!G51</f>
        <v>0</v>
      </c>
      <c r="J52" s="207" t="str">
        <f>IF(Dat_02!H51=0,"",Dat_02!H51)</f>
        <v/>
      </c>
    </row>
    <row r="53" spans="2:10">
      <c r="B53" s="198"/>
      <c r="C53" s="199">
        <f>Dat_02!B52</f>
        <v>45493</v>
      </c>
      <c r="D53" s="198"/>
      <c r="E53" s="200">
        <f>Dat_02!C52</f>
        <v>2.8838368070007419</v>
      </c>
      <c r="F53" s="200">
        <f>Dat_02!D52</f>
        <v>25.910326049029329</v>
      </c>
      <c r="G53" s="200">
        <f>Dat_02!E52</f>
        <v>2.8838368070007419</v>
      </c>
      <c r="I53" s="201">
        <f>Dat_02!G52</f>
        <v>0</v>
      </c>
      <c r="J53" s="207" t="str">
        <f>IF(Dat_02!H52=0,"",Dat_02!H52)</f>
        <v/>
      </c>
    </row>
    <row r="54" spans="2:10">
      <c r="B54" s="198"/>
      <c r="C54" s="199">
        <f>Dat_02!B53</f>
        <v>45494</v>
      </c>
      <c r="D54" s="198"/>
      <c r="E54" s="200">
        <f>Dat_02!C53</f>
        <v>2.773625599002604</v>
      </c>
      <c r="F54" s="200">
        <f>Dat_02!D53</f>
        <v>25.910326049029329</v>
      </c>
      <c r="G54" s="200">
        <f>Dat_02!E53</f>
        <v>2.773625599002604</v>
      </c>
      <c r="I54" s="201">
        <f>Dat_02!G53</f>
        <v>0</v>
      </c>
      <c r="J54" s="207" t="str">
        <f>IF(Dat_02!H53=0,"",Dat_02!H53)</f>
        <v/>
      </c>
    </row>
    <row r="55" spans="2:10">
      <c r="B55" s="198"/>
      <c r="C55" s="199">
        <f>Dat_02!B54</f>
        <v>45495</v>
      </c>
      <c r="D55" s="198"/>
      <c r="E55" s="200">
        <f>Dat_02!C54</f>
        <v>2.6918520630007405</v>
      </c>
      <c r="F55" s="200">
        <f>Dat_02!D54</f>
        <v>25.910326049029329</v>
      </c>
      <c r="G55" s="200">
        <f>Dat_02!E54</f>
        <v>2.6918520630007405</v>
      </c>
      <c r="I55" s="201">
        <f>Dat_02!G54</f>
        <v>0</v>
      </c>
      <c r="J55" s="207" t="str">
        <f>IF(Dat_02!H54=0,"",Dat_02!H54)</f>
        <v/>
      </c>
    </row>
    <row r="56" spans="2:10">
      <c r="B56" s="198"/>
      <c r="C56" s="199">
        <f>Dat_02!B55</f>
        <v>45496</v>
      </c>
      <c r="D56" s="198"/>
      <c r="E56" s="200">
        <f>Dat_02!C55</f>
        <v>4.8173808750007447</v>
      </c>
      <c r="F56" s="200">
        <f>Dat_02!D55</f>
        <v>25.910326049029329</v>
      </c>
      <c r="G56" s="200">
        <f>Dat_02!E55</f>
        <v>4.8173808750007447</v>
      </c>
      <c r="I56" s="201">
        <f>Dat_02!G55</f>
        <v>0</v>
      </c>
      <c r="J56" s="207" t="str">
        <f>IF(Dat_02!H55=0,"",Dat_02!H55)</f>
        <v/>
      </c>
    </row>
    <row r="57" spans="2:10">
      <c r="B57" s="198"/>
      <c r="C57" s="199">
        <f>Dat_02!B56</f>
        <v>45497</v>
      </c>
      <c r="D57" s="198"/>
      <c r="E57" s="200">
        <f>Dat_02!C56</f>
        <v>28.556996525535084</v>
      </c>
      <c r="F57" s="200">
        <f>Dat_02!D56</f>
        <v>25.910326049029329</v>
      </c>
      <c r="G57" s="200">
        <f>Dat_02!E56</f>
        <v>25.910326049029329</v>
      </c>
      <c r="I57" s="201">
        <f>Dat_02!G56</f>
        <v>0</v>
      </c>
      <c r="J57" s="207" t="str">
        <f>IF(Dat_02!H56=0,"",Dat_02!H56)</f>
        <v/>
      </c>
    </row>
    <row r="58" spans="2:10">
      <c r="B58" s="198"/>
      <c r="C58" s="199">
        <f>Dat_02!B57</f>
        <v>45498</v>
      </c>
      <c r="D58" s="198"/>
      <c r="E58" s="200">
        <f>Dat_02!C57</f>
        <v>14.895582087538802</v>
      </c>
      <c r="F58" s="200">
        <f>Dat_02!D57</f>
        <v>25.910326049029329</v>
      </c>
      <c r="G58" s="200">
        <f>Dat_02!E57</f>
        <v>14.895582087538802</v>
      </c>
      <c r="I58" s="201">
        <f>Dat_02!G57</f>
        <v>0</v>
      </c>
      <c r="J58" s="207" t="str">
        <f>IF(Dat_02!H57=0,"",Dat_02!H57)</f>
        <v/>
      </c>
    </row>
    <row r="59" spans="2:10">
      <c r="B59" s="198"/>
      <c r="C59" s="199">
        <f>Dat_02!B58</f>
        <v>45499</v>
      </c>
      <c r="D59" s="198"/>
      <c r="E59" s="200">
        <f>Dat_02!C58</f>
        <v>13.942140612535077</v>
      </c>
      <c r="F59" s="200">
        <f>Dat_02!D58</f>
        <v>25.910326049029329</v>
      </c>
      <c r="G59" s="200">
        <f>Dat_02!E58</f>
        <v>13.942140612535077</v>
      </c>
      <c r="I59" s="201">
        <f>Dat_02!G58</f>
        <v>0</v>
      </c>
      <c r="J59" s="207" t="str">
        <f>IF(Dat_02!H58=0,"",Dat_02!H58)</f>
        <v/>
      </c>
    </row>
    <row r="60" spans="2:10">
      <c r="B60" s="198"/>
      <c r="C60" s="199">
        <f>Dat_02!B59</f>
        <v>45500</v>
      </c>
      <c r="D60" s="198"/>
      <c r="E60" s="200">
        <f>Dat_02!C59</f>
        <v>8.5909319685369407</v>
      </c>
      <c r="F60" s="200">
        <f>Dat_02!D59</f>
        <v>25.910326049029329</v>
      </c>
      <c r="G60" s="200">
        <f>Dat_02!E59</f>
        <v>8.5909319685369407</v>
      </c>
      <c r="I60" s="201">
        <f>Dat_02!G59</f>
        <v>0</v>
      </c>
      <c r="J60" s="207" t="str">
        <f>IF(Dat_02!H59=0,"",Dat_02!H59)</f>
        <v/>
      </c>
    </row>
    <row r="61" spans="2:10">
      <c r="B61" s="198"/>
      <c r="C61" s="199">
        <f>Dat_02!B60</f>
        <v>45501</v>
      </c>
      <c r="D61" s="198"/>
      <c r="E61" s="200">
        <f>Dat_02!C60</f>
        <v>2.8758978345369397</v>
      </c>
      <c r="F61" s="200">
        <f>Dat_02!D60</f>
        <v>25.910326049029329</v>
      </c>
      <c r="G61" s="200">
        <f>Dat_02!E60</f>
        <v>2.8758978345369397</v>
      </c>
      <c r="I61" s="201">
        <f>Dat_02!G60</f>
        <v>0</v>
      </c>
      <c r="J61" s="207" t="str">
        <f>IF(Dat_02!H60=0,"",Dat_02!H60)</f>
        <v/>
      </c>
    </row>
    <row r="62" spans="2:10">
      <c r="B62" s="198"/>
      <c r="C62" s="199">
        <f>Dat_02!B61</f>
        <v>45502</v>
      </c>
      <c r="D62" s="198"/>
      <c r="E62" s="200">
        <f>Dat_02!C61</f>
        <v>19.15130785353508</v>
      </c>
      <c r="F62" s="200">
        <f>Dat_02!D61</f>
        <v>25.910326049029329</v>
      </c>
      <c r="G62" s="200">
        <f>Dat_02!E61</f>
        <v>19.15130785353508</v>
      </c>
      <c r="I62" s="201">
        <f>Dat_02!G61</f>
        <v>0</v>
      </c>
      <c r="J62" s="207" t="str">
        <f>IF(Dat_02!H61=0,"",Dat_02!H61)</f>
        <v/>
      </c>
    </row>
    <row r="63" spans="2:10">
      <c r="B63" s="198"/>
      <c r="C63" s="199">
        <f>Dat_02!B62</f>
        <v>45503</v>
      </c>
      <c r="D63" s="198"/>
      <c r="E63" s="200">
        <f>Dat_02!C62</f>
        <v>16.346622300538801</v>
      </c>
      <c r="F63" s="200">
        <f>Dat_02!D62</f>
        <v>25.910326049029329</v>
      </c>
      <c r="G63" s="200">
        <f>Dat_02!E62</f>
        <v>16.346622300538801</v>
      </c>
      <c r="I63" s="201">
        <f>Dat_02!G62</f>
        <v>0</v>
      </c>
      <c r="J63" s="207" t="str">
        <f>IF(Dat_02!H62=0,"",Dat_02!H62)</f>
        <v/>
      </c>
    </row>
    <row r="64" spans="2:10">
      <c r="B64" s="198"/>
      <c r="C64" s="199">
        <f>Dat_02!B63</f>
        <v>45504</v>
      </c>
      <c r="D64" s="198"/>
      <c r="E64" s="200">
        <f>Dat_02!C63</f>
        <v>24.35939520223344</v>
      </c>
      <c r="F64" s="200">
        <f>Dat_02!D63</f>
        <v>25.910326049029329</v>
      </c>
      <c r="G64" s="200">
        <f>Dat_02!E63</f>
        <v>24.35939520223344</v>
      </c>
      <c r="I64" s="201">
        <f>Dat_02!G63</f>
        <v>0</v>
      </c>
      <c r="J64" s="207" t="str">
        <f>IF(Dat_02!H63=0,"",Dat_02!H63)</f>
        <v/>
      </c>
    </row>
    <row r="65" spans="2:10">
      <c r="B65" s="198" t="s">
        <v>169</v>
      </c>
      <c r="C65" s="199">
        <f>Dat_02!B64</f>
        <v>45505</v>
      </c>
      <c r="D65" s="198"/>
      <c r="E65" s="200">
        <f>Dat_02!C64</f>
        <v>3.2914033582334379</v>
      </c>
      <c r="F65" s="200">
        <f>Dat_02!D64</f>
        <v>15.363630405709555</v>
      </c>
      <c r="G65" s="200">
        <f>Dat_02!E64</f>
        <v>3.2914033582334379</v>
      </c>
      <c r="I65" s="201">
        <f>Dat_02!G64</f>
        <v>0</v>
      </c>
      <c r="J65" s="207" t="str">
        <f>IF(Dat_02!H64=0,"",Dat_02!H64)</f>
        <v/>
      </c>
    </row>
    <row r="66" spans="2:10">
      <c r="B66" s="198"/>
      <c r="C66" s="199">
        <f>Dat_02!B65</f>
        <v>45506</v>
      </c>
      <c r="D66" s="198"/>
      <c r="E66" s="200">
        <f>Dat_02!C65</f>
        <v>1.8560847702352985</v>
      </c>
      <c r="F66" s="200">
        <f>Dat_02!D65</f>
        <v>15.363630405709555</v>
      </c>
      <c r="G66" s="200">
        <f>Dat_02!E65</f>
        <v>1.8560847702352985</v>
      </c>
      <c r="I66" s="201">
        <f>Dat_02!G65</f>
        <v>0</v>
      </c>
      <c r="J66" s="207" t="str">
        <f>IF(Dat_02!H65=0,"",Dat_02!H65)</f>
        <v/>
      </c>
    </row>
    <row r="67" spans="2:10">
      <c r="B67" s="198"/>
      <c r="C67" s="199">
        <f>Dat_02!B66</f>
        <v>45507</v>
      </c>
      <c r="D67" s="198"/>
      <c r="E67" s="200">
        <f>Dat_02!C66</f>
        <v>3.1090699312334329</v>
      </c>
      <c r="F67" s="200">
        <f>Dat_02!D66</f>
        <v>15.363630405709555</v>
      </c>
      <c r="G67" s="200">
        <f>Dat_02!E66</f>
        <v>3.1090699312334329</v>
      </c>
      <c r="I67" s="201">
        <f>Dat_02!G66</f>
        <v>0</v>
      </c>
      <c r="J67" s="207" t="str">
        <f>IF(Dat_02!H66=0,"",Dat_02!H66)</f>
        <v/>
      </c>
    </row>
    <row r="68" spans="2:10">
      <c r="B68" s="198"/>
      <c r="C68" s="199">
        <f>Dat_02!B67</f>
        <v>45508</v>
      </c>
      <c r="D68" s="198"/>
      <c r="E68" s="200">
        <f>Dat_02!C67</f>
        <v>2.4807760832334314</v>
      </c>
      <c r="F68" s="200">
        <f>Dat_02!D67</f>
        <v>15.363630405709555</v>
      </c>
      <c r="G68" s="200">
        <f>Dat_02!E67</f>
        <v>2.4807760832334314</v>
      </c>
      <c r="I68" s="201">
        <f>Dat_02!G67</f>
        <v>0</v>
      </c>
      <c r="J68" s="207" t="str">
        <f>IF(Dat_02!H67=0,"",Dat_02!H67)</f>
        <v/>
      </c>
    </row>
    <row r="69" spans="2:10">
      <c r="B69" s="198"/>
      <c r="C69" s="199">
        <f>Dat_02!B68</f>
        <v>45509</v>
      </c>
      <c r="D69" s="198"/>
      <c r="E69" s="200">
        <f>Dat_02!C68</f>
        <v>3.27927523323716</v>
      </c>
      <c r="F69" s="200">
        <f>Dat_02!D68</f>
        <v>15.363630405709555</v>
      </c>
      <c r="G69" s="200">
        <f>Dat_02!E68</f>
        <v>3.27927523323716</v>
      </c>
      <c r="I69" s="201">
        <f>Dat_02!G68</f>
        <v>0</v>
      </c>
      <c r="J69" s="207" t="str">
        <f>IF(Dat_02!H68=0,"",Dat_02!H68)</f>
        <v/>
      </c>
    </row>
    <row r="70" spans="2:10">
      <c r="B70" s="198"/>
      <c r="C70" s="199">
        <f>Dat_02!B69</f>
        <v>45510</v>
      </c>
      <c r="D70" s="198"/>
      <c r="E70" s="200">
        <f>Dat_02!C69</f>
        <v>3.0810359062334318</v>
      </c>
      <c r="F70" s="200">
        <f>Dat_02!D69</f>
        <v>15.363630405709555</v>
      </c>
      <c r="G70" s="200">
        <f>Dat_02!E69</f>
        <v>3.0810359062334318</v>
      </c>
      <c r="I70" s="201">
        <f>Dat_02!G69</f>
        <v>0</v>
      </c>
      <c r="J70" s="207" t="str">
        <f>IF(Dat_02!H69=0,"",Dat_02!H69)</f>
        <v/>
      </c>
    </row>
    <row r="71" spans="2:10">
      <c r="B71" s="198"/>
      <c r="C71" s="199">
        <f>Dat_02!B70</f>
        <v>45511</v>
      </c>
      <c r="D71" s="198"/>
      <c r="E71" s="200">
        <f>Dat_02!C70</f>
        <v>3.19426276293696</v>
      </c>
      <c r="F71" s="200">
        <f>Dat_02!D70</f>
        <v>15.363630405709555</v>
      </c>
      <c r="G71" s="200">
        <f>Dat_02!E70</f>
        <v>3.19426276293696</v>
      </c>
      <c r="I71" s="201">
        <f>Dat_02!G70</f>
        <v>0</v>
      </c>
      <c r="J71" s="207" t="str">
        <f>IF(Dat_02!H70=0,"",Dat_02!H70)</f>
        <v/>
      </c>
    </row>
    <row r="72" spans="2:10">
      <c r="B72" s="198"/>
      <c r="C72" s="199">
        <f>Dat_02!B71</f>
        <v>45512</v>
      </c>
      <c r="D72" s="198"/>
      <c r="E72" s="200">
        <f>Dat_02!C71</f>
        <v>3.3697791099406897</v>
      </c>
      <c r="F72" s="200">
        <f>Dat_02!D71</f>
        <v>15.363630405709555</v>
      </c>
      <c r="G72" s="200">
        <f>Dat_02!E71</f>
        <v>3.3697791099406897</v>
      </c>
      <c r="I72" s="201">
        <f>Dat_02!G71</f>
        <v>0</v>
      </c>
      <c r="J72" s="207" t="str">
        <f>IF(Dat_02!H71=0,"",Dat_02!H71)</f>
        <v/>
      </c>
    </row>
    <row r="73" spans="2:10">
      <c r="B73" s="198"/>
      <c r="C73" s="199">
        <f>Dat_02!B72</f>
        <v>45513</v>
      </c>
      <c r="D73" s="198"/>
      <c r="E73" s="200">
        <f>Dat_02!C72</f>
        <v>3.9030743759388278</v>
      </c>
      <c r="F73" s="200">
        <f>Dat_02!D72</f>
        <v>15.363630405709555</v>
      </c>
      <c r="G73" s="200">
        <f>Dat_02!E72</f>
        <v>3.9030743759388278</v>
      </c>
      <c r="I73" s="201">
        <f>Dat_02!G72</f>
        <v>0</v>
      </c>
      <c r="J73" s="207" t="str">
        <f>IF(Dat_02!H72=0,"",Dat_02!H72)</f>
        <v/>
      </c>
    </row>
    <row r="74" spans="2:10">
      <c r="B74" s="198"/>
      <c r="C74" s="199">
        <f>Dat_02!B73</f>
        <v>45514</v>
      </c>
      <c r="D74" s="198"/>
      <c r="E74" s="200">
        <f>Dat_02!C73</f>
        <v>2.8245451479388213</v>
      </c>
      <c r="F74" s="200">
        <f>Dat_02!D73</f>
        <v>15.363630405709555</v>
      </c>
      <c r="G74" s="200">
        <f>Dat_02!E73</f>
        <v>2.8245451479388213</v>
      </c>
      <c r="I74" s="201">
        <f>Dat_02!G73</f>
        <v>0</v>
      </c>
      <c r="J74" s="207" t="str">
        <f>IF(Dat_02!H73=0,"",Dat_02!H73)</f>
        <v/>
      </c>
    </row>
    <row r="75" spans="2:10">
      <c r="B75" s="198"/>
      <c r="C75" s="199">
        <f>Dat_02!B74</f>
        <v>45515</v>
      </c>
      <c r="D75" s="198"/>
      <c r="E75" s="200">
        <f>Dat_02!C74</f>
        <v>3.2445350539369611</v>
      </c>
      <c r="F75" s="200">
        <f>Dat_02!D74</f>
        <v>15.363630405709555</v>
      </c>
      <c r="G75" s="200">
        <f>Dat_02!E74</f>
        <v>3.2445350539369611</v>
      </c>
      <c r="I75" s="201">
        <f>Dat_02!G74</f>
        <v>0</v>
      </c>
      <c r="J75" s="207" t="str">
        <f>IF(Dat_02!H74=0,"",Dat_02!H74)</f>
        <v/>
      </c>
    </row>
    <row r="76" spans="2:10">
      <c r="B76" s="198"/>
      <c r="C76" s="199">
        <f>Dat_02!B75</f>
        <v>45516</v>
      </c>
      <c r="D76" s="198"/>
      <c r="E76" s="200">
        <f>Dat_02!C75</f>
        <v>2.3591191749406861</v>
      </c>
      <c r="F76" s="200">
        <f>Dat_02!D75</f>
        <v>15.363630405709555</v>
      </c>
      <c r="G76" s="200">
        <f>Dat_02!E75</f>
        <v>2.3591191749406861</v>
      </c>
      <c r="I76" s="201">
        <f>Dat_02!G75</f>
        <v>0</v>
      </c>
      <c r="J76" s="207" t="str">
        <f>IF(Dat_02!H75=0,"",Dat_02!H75)</f>
        <v/>
      </c>
    </row>
    <row r="77" spans="2:10">
      <c r="B77" s="198"/>
      <c r="C77" s="199">
        <f>Dat_02!B76</f>
        <v>45517</v>
      </c>
      <c r="D77" s="198"/>
      <c r="E77" s="200">
        <f>Dat_02!C76</f>
        <v>6.1163461269388204</v>
      </c>
      <c r="F77" s="200">
        <f>Dat_02!D76</f>
        <v>15.363630405709555</v>
      </c>
      <c r="G77" s="200">
        <f>Dat_02!E76</f>
        <v>6.1163461269388204</v>
      </c>
      <c r="I77" s="201">
        <f>Dat_02!G76</f>
        <v>0</v>
      </c>
      <c r="J77" s="207" t="str">
        <f>IF(Dat_02!H76=0,"",Dat_02!H76)</f>
        <v/>
      </c>
    </row>
    <row r="78" spans="2:10">
      <c r="B78" s="198"/>
      <c r="C78" s="199">
        <f>Dat_02!B77</f>
        <v>45518</v>
      </c>
      <c r="D78" s="198"/>
      <c r="E78" s="200">
        <f>Dat_02!C77</f>
        <v>11.974662251003625</v>
      </c>
      <c r="F78" s="200">
        <f>Dat_02!D77</f>
        <v>15.363630405709555</v>
      </c>
      <c r="G78" s="200">
        <f>Dat_02!E77</f>
        <v>11.974662251003625</v>
      </c>
      <c r="I78" s="201" t="str">
        <f>Dat_02!G77</f>
        <v/>
      </c>
      <c r="J78" s="207" t="str">
        <f>IF(Dat_02!H77=0,"",Dat_02!H77)</f>
        <v/>
      </c>
    </row>
    <row r="79" spans="2:10">
      <c r="B79" s="198"/>
      <c r="C79" s="199">
        <f>Dat_02!B78</f>
        <v>45519</v>
      </c>
      <c r="D79" s="198"/>
      <c r="E79" s="200">
        <f>Dat_02!C78</f>
        <v>2.313891444005487</v>
      </c>
      <c r="F79" s="200">
        <f>Dat_02!D78</f>
        <v>15.363630405709555</v>
      </c>
      <c r="G79" s="200">
        <f>Dat_02!E78</f>
        <v>2.313891444005487</v>
      </c>
      <c r="I79" s="201">
        <f>Dat_02!G78</f>
        <v>0</v>
      </c>
      <c r="J79" s="207" t="str">
        <f>IF(Dat_02!H78=0,"",Dat_02!H78)</f>
        <v/>
      </c>
    </row>
    <row r="80" spans="2:10">
      <c r="B80" s="198"/>
      <c r="C80" s="199">
        <f>Dat_02!B79</f>
        <v>45520</v>
      </c>
      <c r="D80" s="198"/>
      <c r="E80" s="200">
        <f>Dat_02!C79</f>
        <v>2.7889215240073537</v>
      </c>
      <c r="F80" s="200">
        <f>Dat_02!D79</f>
        <v>15.363630405709555</v>
      </c>
      <c r="G80" s="200">
        <f>Dat_02!E79</f>
        <v>2.7889215240073537</v>
      </c>
      <c r="I80" s="201">
        <f>Dat_02!G79</f>
        <v>0</v>
      </c>
      <c r="J80" s="207" t="str">
        <f>IF(Dat_02!H79=0,"",Dat_02!H79)</f>
        <v/>
      </c>
    </row>
    <row r="81" spans="2:10">
      <c r="B81" s="198"/>
      <c r="C81" s="199">
        <f>Dat_02!B80</f>
        <v>45521</v>
      </c>
      <c r="D81" s="198"/>
      <c r="E81" s="200">
        <f>Dat_02!C80</f>
        <v>3.6637183840073484</v>
      </c>
      <c r="F81" s="200">
        <f>Dat_02!D80</f>
        <v>15.363630405709555</v>
      </c>
      <c r="G81" s="200">
        <f>Dat_02!E80</f>
        <v>3.6637183840073484</v>
      </c>
      <c r="I81" s="201">
        <f>Dat_02!G80</f>
        <v>0</v>
      </c>
      <c r="J81" s="207" t="str">
        <f>IF(Dat_02!H80=0,"",Dat_02!H80)</f>
        <v/>
      </c>
    </row>
    <row r="82" spans="2:10">
      <c r="B82" s="198"/>
      <c r="C82" s="199">
        <f>Dat_02!B81</f>
        <v>45522</v>
      </c>
      <c r="D82" s="198"/>
      <c r="E82" s="200">
        <f>Dat_02!C81</f>
        <v>3.1426225090036239</v>
      </c>
      <c r="F82" s="200">
        <f>Dat_02!D81</f>
        <v>15.363630405709555</v>
      </c>
      <c r="G82" s="200">
        <f>Dat_02!E81</f>
        <v>3.1426225090036239</v>
      </c>
      <c r="I82" s="201">
        <f>Dat_02!G81</f>
        <v>0</v>
      </c>
      <c r="J82" s="207" t="str">
        <f>IF(Dat_02!H81=0,"",Dat_02!H81)</f>
        <v/>
      </c>
    </row>
    <row r="83" spans="2:10">
      <c r="B83" s="198"/>
      <c r="C83" s="199">
        <f>Dat_02!B82</f>
        <v>45523</v>
      </c>
      <c r="D83" s="198"/>
      <c r="E83" s="200">
        <f>Dat_02!C82</f>
        <v>2.7647522880036268</v>
      </c>
      <c r="F83" s="200">
        <f>Dat_02!D82</f>
        <v>15.363630405709555</v>
      </c>
      <c r="G83" s="200">
        <f>Dat_02!E82</f>
        <v>2.7647522880036268</v>
      </c>
      <c r="I83" s="201">
        <f>Dat_02!G82</f>
        <v>0</v>
      </c>
      <c r="J83" s="207" t="str">
        <f>IF(Dat_02!H82=0,"",Dat_02!H82)</f>
        <v/>
      </c>
    </row>
    <row r="84" spans="2:10">
      <c r="B84" s="198"/>
      <c r="C84" s="199">
        <f>Dat_02!B83</f>
        <v>45524</v>
      </c>
      <c r="D84" s="198"/>
      <c r="E84" s="200">
        <f>Dat_02!C83</f>
        <v>8.3475346870073484</v>
      </c>
      <c r="F84" s="200">
        <f>Dat_02!D83</f>
        <v>15.363630405709555</v>
      </c>
      <c r="G84" s="200">
        <f>Dat_02!E83</f>
        <v>8.3475346870073484</v>
      </c>
      <c r="I84" s="201">
        <f>Dat_02!G83</f>
        <v>0</v>
      </c>
      <c r="J84" s="207" t="str">
        <f>IF(Dat_02!H83=0,"",Dat_02!H83)</f>
        <v/>
      </c>
    </row>
    <row r="85" spans="2:10">
      <c r="B85" s="198"/>
      <c r="C85" s="199">
        <f>Dat_02!B84</f>
        <v>45525</v>
      </c>
      <c r="D85" s="198"/>
      <c r="E85" s="200">
        <f>Dat_02!C84</f>
        <v>13.457443864621782</v>
      </c>
      <c r="F85" s="200">
        <f>Dat_02!D84</f>
        <v>15.363630405709555</v>
      </c>
      <c r="G85" s="200">
        <f>Dat_02!E84</f>
        <v>13.457443864621782</v>
      </c>
      <c r="I85" s="201">
        <f>Dat_02!G84</f>
        <v>0</v>
      </c>
      <c r="J85" s="207" t="str">
        <f>IF(Dat_02!H84=0,"",Dat_02!H84)</f>
        <v/>
      </c>
    </row>
    <row r="86" spans="2:10">
      <c r="B86" s="198"/>
      <c r="C86" s="199">
        <f>Dat_02!B85</f>
        <v>45526</v>
      </c>
      <c r="D86" s="198"/>
      <c r="E86" s="200">
        <f>Dat_02!C85</f>
        <v>17.84504337562737</v>
      </c>
      <c r="F86" s="200">
        <f>Dat_02!D85</f>
        <v>15.363630405709555</v>
      </c>
      <c r="G86" s="200">
        <f>Dat_02!E85</f>
        <v>15.363630405709555</v>
      </c>
      <c r="I86" s="201">
        <f>Dat_02!G85</f>
        <v>0</v>
      </c>
      <c r="J86" s="207" t="str">
        <f>IF(Dat_02!H85=0,"",Dat_02!H85)</f>
        <v/>
      </c>
    </row>
    <row r="87" spans="2:10">
      <c r="B87" s="198"/>
      <c r="C87" s="199">
        <f>Dat_02!B86</f>
        <v>45527</v>
      </c>
      <c r="D87" s="198"/>
      <c r="E87" s="200">
        <f>Dat_02!C86</f>
        <v>13.587899395625515</v>
      </c>
      <c r="F87" s="200">
        <f>Dat_02!D86</f>
        <v>15.363630405709555</v>
      </c>
      <c r="G87" s="200">
        <f>Dat_02!E86</f>
        <v>13.587899395625515</v>
      </c>
      <c r="I87" s="201">
        <f>Dat_02!G86</f>
        <v>0</v>
      </c>
      <c r="J87" s="207" t="str">
        <f>IF(Dat_02!H86=0,"",Dat_02!H86)</f>
        <v/>
      </c>
    </row>
    <row r="88" spans="2:10">
      <c r="B88" s="198"/>
      <c r="C88" s="199">
        <f>Dat_02!B87</f>
        <v>45528</v>
      </c>
      <c r="D88" s="198"/>
      <c r="E88" s="200">
        <f>Dat_02!C87</f>
        <v>3.139176939625504</v>
      </c>
      <c r="F88" s="200">
        <f>Dat_02!D87</f>
        <v>15.363630405709555</v>
      </c>
      <c r="G88" s="200">
        <f>Dat_02!E87</f>
        <v>3.139176939625504</v>
      </c>
      <c r="I88" s="201">
        <f>Dat_02!G87</f>
        <v>0</v>
      </c>
      <c r="J88" s="207" t="str">
        <f>IF(Dat_02!H87=0,"",Dat_02!H87)</f>
        <v/>
      </c>
    </row>
    <row r="89" spans="2:10">
      <c r="B89" s="198"/>
      <c r="C89" s="199">
        <f>Dat_02!B88</f>
        <v>45529</v>
      </c>
      <c r="D89" s="198"/>
      <c r="E89" s="200">
        <f>Dat_02!C88</f>
        <v>3.6239849436255063</v>
      </c>
      <c r="F89" s="200">
        <f>Dat_02!D88</f>
        <v>15.363630405709555</v>
      </c>
      <c r="G89" s="200">
        <f>Dat_02!E88</f>
        <v>3.6239849436255063</v>
      </c>
      <c r="I89" s="201">
        <f>Dat_02!G88</f>
        <v>0</v>
      </c>
      <c r="J89" s="207" t="str">
        <f>IF(Dat_02!H88=0,"",Dat_02!H88)</f>
        <v/>
      </c>
    </row>
    <row r="90" spans="2:10">
      <c r="B90" s="198"/>
      <c r="C90" s="199">
        <f>Dat_02!B89</f>
        <v>45530</v>
      </c>
      <c r="D90" s="198"/>
      <c r="E90" s="200">
        <f>Dat_02!C89</f>
        <v>18.695398971623646</v>
      </c>
      <c r="F90" s="200">
        <f>Dat_02!D89</f>
        <v>15.363630405709555</v>
      </c>
      <c r="G90" s="200">
        <f>Dat_02!E89</f>
        <v>15.363630405709555</v>
      </c>
      <c r="I90" s="201">
        <f>Dat_02!G89</f>
        <v>0</v>
      </c>
      <c r="J90" s="207" t="str">
        <f>IF(Dat_02!H89=0,"",Dat_02!H89)</f>
        <v/>
      </c>
    </row>
    <row r="91" spans="2:10">
      <c r="B91" s="198"/>
      <c r="C91" s="199">
        <f>Dat_02!B90</f>
        <v>45531</v>
      </c>
      <c r="D91" s="198"/>
      <c r="E91" s="200">
        <f>Dat_02!C90</f>
        <v>19.764271587625508</v>
      </c>
      <c r="F91" s="200">
        <f>Dat_02!D90</f>
        <v>15.363630405709555</v>
      </c>
      <c r="G91" s="200">
        <f>Dat_02!E90</f>
        <v>15.363630405709555</v>
      </c>
      <c r="I91" s="201">
        <f>Dat_02!G90</f>
        <v>0</v>
      </c>
      <c r="J91" s="207" t="str">
        <f>IF(Dat_02!H90=0,"",Dat_02!H90)</f>
        <v/>
      </c>
    </row>
    <row r="92" spans="2:10">
      <c r="B92" s="198"/>
      <c r="C92" s="199">
        <f>Dat_02!B91</f>
        <v>45532</v>
      </c>
      <c r="D92" s="198"/>
      <c r="E92" s="200">
        <f>Dat_02!C91</f>
        <v>25.071713284847881</v>
      </c>
      <c r="F92" s="200">
        <f>Dat_02!D91</f>
        <v>15.363630405709555</v>
      </c>
      <c r="G92" s="200">
        <f>Dat_02!E91</f>
        <v>15.363630405709555</v>
      </c>
      <c r="I92" s="201">
        <f>Dat_02!G91</f>
        <v>0</v>
      </c>
      <c r="J92" s="207" t="str">
        <f>IF(Dat_02!H91=0,"",Dat_02!H91)</f>
        <v/>
      </c>
    </row>
    <row r="93" spans="2:10">
      <c r="B93" s="198"/>
      <c r="C93" s="199">
        <f>Dat_02!B92</f>
        <v>45533</v>
      </c>
      <c r="D93" s="198"/>
      <c r="E93" s="200">
        <f>Dat_02!C92</f>
        <v>17.686682008849747</v>
      </c>
      <c r="F93" s="200">
        <f>Dat_02!D92</f>
        <v>15.363630405709555</v>
      </c>
      <c r="G93" s="200">
        <f>Dat_02!E92</f>
        <v>15.363630405709555</v>
      </c>
      <c r="I93" s="201">
        <f>Dat_02!G92</f>
        <v>0</v>
      </c>
      <c r="J93" s="207" t="str">
        <f>IF(Dat_02!H92=0,"",Dat_02!H92)</f>
        <v/>
      </c>
    </row>
    <row r="94" spans="2:10">
      <c r="B94" s="198"/>
      <c r="C94" s="199">
        <f>Dat_02!B93</f>
        <v>45534</v>
      </c>
      <c r="D94" s="198"/>
      <c r="E94" s="200">
        <f>Dat_02!C93</f>
        <v>20.918469743849744</v>
      </c>
      <c r="F94" s="200">
        <f>Dat_02!D93</f>
        <v>15.363630405709555</v>
      </c>
      <c r="G94" s="200">
        <f>Dat_02!E93</f>
        <v>15.363630405709555</v>
      </c>
      <c r="I94" s="201">
        <f>Dat_02!G93</f>
        <v>0</v>
      </c>
      <c r="J94" s="207" t="str">
        <f>IF(Dat_02!H93=0,"",Dat_02!H93)</f>
        <v/>
      </c>
    </row>
    <row r="95" spans="2:10">
      <c r="B95" s="198"/>
      <c r="C95" s="199">
        <f>Dat_02!B94</f>
        <v>45535</v>
      </c>
      <c r="D95" s="198"/>
      <c r="E95" s="200">
        <f>Dat_02!C94</f>
        <v>2.742251960849746</v>
      </c>
      <c r="F95" s="200">
        <f>Dat_02!D94</f>
        <v>15.363630405709555</v>
      </c>
      <c r="G95" s="200">
        <f>Dat_02!E94</f>
        <v>2.742251960849746</v>
      </c>
      <c r="I95" s="201">
        <f>Dat_02!G94</f>
        <v>0</v>
      </c>
      <c r="J95" s="207" t="str">
        <f>IF(Dat_02!H94=0,"",Dat_02!H94)</f>
        <v/>
      </c>
    </row>
    <row r="96" spans="2:10">
      <c r="B96" s="198" t="s">
        <v>170</v>
      </c>
      <c r="C96" s="199">
        <f>Dat_02!B95</f>
        <v>45536</v>
      </c>
      <c r="D96" s="198"/>
      <c r="E96" s="200">
        <f>Dat_02!C95</f>
        <v>3.3861522168516096</v>
      </c>
      <c r="F96" s="200">
        <f>Dat_02!D95</f>
        <v>19.885734840413747</v>
      </c>
      <c r="G96" s="200">
        <f>Dat_02!E95</f>
        <v>3.3861522168516096</v>
      </c>
      <c r="I96" s="201">
        <f>Dat_02!G95</f>
        <v>0</v>
      </c>
      <c r="J96" s="207" t="str">
        <f>IF(Dat_02!H95=0,"",Dat_02!H95)</f>
        <v/>
      </c>
    </row>
    <row r="97" spans="2:10">
      <c r="B97" s="198"/>
      <c r="C97" s="199">
        <f>Dat_02!B96</f>
        <v>45537</v>
      </c>
      <c r="D97" s="198"/>
      <c r="E97" s="200">
        <f>Dat_02!C96</f>
        <v>3.4677666688497486</v>
      </c>
      <c r="F97" s="200">
        <f>Dat_02!D96</f>
        <v>19.885734840413747</v>
      </c>
      <c r="G97" s="200">
        <f>Dat_02!E96</f>
        <v>3.4677666688497486</v>
      </c>
      <c r="I97" s="201">
        <f>Dat_02!G96</f>
        <v>0</v>
      </c>
      <c r="J97" s="207" t="str">
        <f>IF(Dat_02!H96=0,"",Dat_02!H96)</f>
        <v/>
      </c>
    </row>
    <row r="98" spans="2:10">
      <c r="B98" s="198"/>
      <c r="C98" s="199">
        <f>Dat_02!B97</f>
        <v>45538</v>
      </c>
      <c r="D98" s="198"/>
      <c r="E98" s="200">
        <f>Dat_02!C97</f>
        <v>2.9788258928478828</v>
      </c>
      <c r="F98" s="200">
        <f>Dat_02!D97</f>
        <v>19.885734840413747</v>
      </c>
      <c r="G98" s="200">
        <f>Dat_02!E97</f>
        <v>2.9788258928478828</v>
      </c>
      <c r="I98" s="201">
        <f>Dat_02!G97</f>
        <v>0</v>
      </c>
      <c r="J98" s="207" t="str">
        <f>IF(Dat_02!H97=0,"",Dat_02!H97)</f>
        <v/>
      </c>
    </row>
    <row r="99" spans="2:10">
      <c r="B99" s="198"/>
      <c r="C99" s="199">
        <f>Dat_02!B98</f>
        <v>45539</v>
      </c>
      <c r="D99" s="198"/>
      <c r="E99" s="200">
        <f>Dat_02!C98</f>
        <v>13.350197940835489</v>
      </c>
      <c r="F99" s="200">
        <f>Dat_02!D98</f>
        <v>19.885734840413747</v>
      </c>
      <c r="G99" s="200">
        <f>Dat_02!E98</f>
        <v>13.350197940835489</v>
      </c>
      <c r="I99" s="201">
        <f>Dat_02!G98</f>
        <v>0</v>
      </c>
      <c r="J99" s="207" t="str">
        <f>IF(Dat_02!H98=0,"",Dat_02!H98)</f>
        <v/>
      </c>
    </row>
    <row r="100" spans="2:10">
      <c r="B100" s="198"/>
      <c r="C100" s="199">
        <f>Dat_02!B99</f>
        <v>45540</v>
      </c>
      <c r="D100" s="198"/>
      <c r="E100" s="200">
        <f>Dat_02!C99</f>
        <v>44.858035183837345</v>
      </c>
      <c r="F100" s="200">
        <f>Dat_02!D99</f>
        <v>19.885734840413747</v>
      </c>
      <c r="G100" s="200">
        <f>Dat_02!E99</f>
        <v>19.885734840413747</v>
      </c>
      <c r="I100" s="201">
        <f>Dat_02!G99</f>
        <v>0</v>
      </c>
      <c r="J100" s="207" t="str">
        <f>IF(Dat_02!H99=0,"",Dat_02!H99)</f>
        <v/>
      </c>
    </row>
    <row r="101" spans="2:10">
      <c r="B101" s="198"/>
      <c r="C101" s="199">
        <f>Dat_02!B100</f>
        <v>45541</v>
      </c>
      <c r="D101" s="198"/>
      <c r="E101" s="200">
        <f>Dat_02!C100</f>
        <v>39.888847947835487</v>
      </c>
      <c r="F101" s="200">
        <f>Dat_02!D100</f>
        <v>19.885734840413747</v>
      </c>
      <c r="G101" s="200">
        <f>Dat_02!E100</f>
        <v>19.885734840413747</v>
      </c>
      <c r="I101" s="201">
        <f>Dat_02!G100</f>
        <v>0</v>
      </c>
      <c r="J101" s="207" t="str">
        <f>IF(Dat_02!H100=0,"",Dat_02!H100)</f>
        <v/>
      </c>
    </row>
    <row r="102" spans="2:10">
      <c r="B102" s="198"/>
      <c r="C102" s="199">
        <f>Dat_02!B101</f>
        <v>45542</v>
      </c>
      <c r="D102" s="198"/>
      <c r="E102" s="200">
        <f>Dat_02!C101</f>
        <v>44.693236418833621</v>
      </c>
      <c r="F102" s="200">
        <f>Dat_02!D101</f>
        <v>19.885734840413747</v>
      </c>
      <c r="G102" s="200">
        <f>Dat_02!E101</f>
        <v>19.885734840413747</v>
      </c>
      <c r="I102" s="201">
        <f>Dat_02!G101</f>
        <v>0</v>
      </c>
      <c r="J102" s="207" t="str">
        <f>IF(Dat_02!H101=0,"",Dat_02!H101)</f>
        <v/>
      </c>
    </row>
    <row r="103" spans="2:10">
      <c r="B103" s="198"/>
      <c r="C103" s="199">
        <f>Dat_02!B102</f>
        <v>45543</v>
      </c>
      <c r="D103" s="198"/>
      <c r="E103" s="200">
        <f>Dat_02!C102</f>
        <v>24.864796343835486</v>
      </c>
      <c r="F103" s="200">
        <f>Dat_02!D102</f>
        <v>19.885734840413747</v>
      </c>
      <c r="G103" s="200">
        <f>Dat_02!E102</f>
        <v>19.885734840413747</v>
      </c>
      <c r="I103" s="201">
        <f>Dat_02!G102</f>
        <v>0</v>
      </c>
      <c r="J103" s="207" t="str">
        <f>IF(Dat_02!H102=0,"",Dat_02!H102)</f>
        <v/>
      </c>
    </row>
    <row r="104" spans="2:10">
      <c r="B104" s="198"/>
      <c r="C104" s="199">
        <f>Dat_02!B103</f>
        <v>45544</v>
      </c>
      <c r="D104" s="198"/>
      <c r="E104" s="200">
        <f>Dat_02!C103</f>
        <v>34.384552203833621</v>
      </c>
      <c r="F104" s="200">
        <f>Dat_02!D103</f>
        <v>19.885734840413747</v>
      </c>
      <c r="G104" s="200">
        <f>Dat_02!E103</f>
        <v>19.885734840413747</v>
      </c>
      <c r="I104" s="201">
        <f>Dat_02!G103</f>
        <v>0</v>
      </c>
      <c r="J104" s="207" t="str">
        <f>IF(Dat_02!H103=0,"",Dat_02!H103)</f>
        <v/>
      </c>
    </row>
    <row r="105" spans="2:10">
      <c r="B105" s="198"/>
      <c r="C105" s="199">
        <f>Dat_02!B104</f>
        <v>45545</v>
      </c>
      <c r="D105" s="198"/>
      <c r="E105" s="200">
        <f>Dat_02!C104</f>
        <v>31.774274239835488</v>
      </c>
      <c r="F105" s="200">
        <f>Dat_02!D104</f>
        <v>19.885734840413747</v>
      </c>
      <c r="G105" s="200">
        <f>Dat_02!E104</f>
        <v>19.885734840413747</v>
      </c>
      <c r="I105" s="201">
        <f>Dat_02!G104</f>
        <v>0</v>
      </c>
      <c r="J105" s="207" t="str">
        <f>IF(Dat_02!H104=0,"",Dat_02!H104)</f>
        <v/>
      </c>
    </row>
    <row r="106" spans="2:10">
      <c r="B106" s="198"/>
      <c r="C106" s="199">
        <f>Dat_02!B105</f>
        <v>45546</v>
      </c>
      <c r="D106" s="198"/>
      <c r="E106" s="200">
        <f>Dat_02!C105</f>
        <v>28.271422682858041</v>
      </c>
      <c r="F106" s="200">
        <f>Dat_02!D105</f>
        <v>19.885734840413747</v>
      </c>
      <c r="G106" s="200">
        <f>Dat_02!E105</f>
        <v>19.885734840413747</v>
      </c>
      <c r="I106" s="201">
        <f>Dat_02!G105</f>
        <v>0</v>
      </c>
      <c r="J106" s="207" t="str">
        <f>IF(Dat_02!H105=0,"",Dat_02!H105)</f>
        <v/>
      </c>
    </row>
    <row r="107" spans="2:10">
      <c r="B107" s="198"/>
      <c r="C107" s="199">
        <f>Dat_02!B106</f>
        <v>45547</v>
      </c>
      <c r="D107" s="198"/>
      <c r="E107" s="200">
        <f>Dat_02!C106</f>
        <v>31.615490350856177</v>
      </c>
      <c r="F107" s="200">
        <f>Dat_02!D106</f>
        <v>19.885734840413747</v>
      </c>
      <c r="G107" s="200">
        <f>Dat_02!E106</f>
        <v>19.885734840413747</v>
      </c>
      <c r="I107" s="201">
        <f>Dat_02!G106</f>
        <v>0</v>
      </c>
      <c r="J107" s="207" t="str">
        <f>IF(Dat_02!H106=0,"",Dat_02!H106)</f>
        <v/>
      </c>
    </row>
    <row r="108" spans="2:10">
      <c r="B108" s="198"/>
      <c r="C108" s="199">
        <f>Dat_02!B107</f>
        <v>45548</v>
      </c>
      <c r="D108" s="198"/>
      <c r="E108" s="200">
        <f>Dat_02!C107</f>
        <v>19.226709610854318</v>
      </c>
      <c r="F108" s="200">
        <f>Dat_02!D107</f>
        <v>19.885734840413747</v>
      </c>
      <c r="G108" s="200">
        <f>Dat_02!E107</f>
        <v>19.226709610854318</v>
      </c>
      <c r="I108" s="201">
        <f>Dat_02!G107</f>
        <v>0</v>
      </c>
      <c r="J108" s="207" t="str">
        <f>IF(Dat_02!H107=0,"",Dat_02!H107)</f>
        <v/>
      </c>
    </row>
    <row r="109" spans="2:10">
      <c r="B109" s="198"/>
      <c r="C109" s="199">
        <f>Dat_02!B108</f>
        <v>45549</v>
      </c>
      <c r="D109" s="198"/>
      <c r="E109" s="200">
        <f>Dat_02!C108</f>
        <v>10.20638647585618</v>
      </c>
      <c r="F109" s="200">
        <f>Dat_02!D108</f>
        <v>19.885734840413747</v>
      </c>
      <c r="G109" s="200">
        <f>Dat_02!E108</f>
        <v>10.20638647585618</v>
      </c>
      <c r="I109" s="201" t="str">
        <f>Dat_02!G108</f>
        <v/>
      </c>
      <c r="J109" s="207" t="str">
        <f>IF(Dat_02!H108=0,"",Dat_02!H108)</f>
        <v/>
      </c>
    </row>
    <row r="110" spans="2:10">
      <c r="B110" s="198"/>
      <c r="C110" s="199">
        <f>Dat_02!B109</f>
        <v>45550</v>
      </c>
      <c r="D110" s="198"/>
      <c r="E110" s="200">
        <f>Dat_02!C109</f>
        <v>4.7013636978543181</v>
      </c>
      <c r="F110" s="200">
        <f>Dat_02!D109</f>
        <v>19.885734840413747</v>
      </c>
      <c r="G110" s="200">
        <f>Dat_02!E109</f>
        <v>4.7013636978543181</v>
      </c>
      <c r="I110" s="201">
        <f>Dat_02!G109</f>
        <v>0</v>
      </c>
      <c r="J110" s="207" t="str">
        <f>IF(Dat_02!H109=0,"",Dat_02!H109)</f>
        <v/>
      </c>
    </row>
    <row r="111" spans="2:10">
      <c r="B111" s="198"/>
      <c r="C111" s="199">
        <f>Dat_02!B110</f>
        <v>45551</v>
      </c>
      <c r="D111" s="198"/>
      <c r="E111" s="200">
        <f>Dat_02!C110</f>
        <v>8.5534986828543182</v>
      </c>
      <c r="F111" s="200">
        <f>Dat_02!D110</f>
        <v>19.885734840413747</v>
      </c>
      <c r="G111" s="200">
        <f>Dat_02!E110</f>
        <v>8.5534986828543182</v>
      </c>
      <c r="I111" s="201">
        <f>Dat_02!G110</f>
        <v>0</v>
      </c>
      <c r="J111" s="207" t="str">
        <f>IF(Dat_02!H110=0,"",Dat_02!H110)</f>
        <v/>
      </c>
    </row>
    <row r="112" spans="2:10">
      <c r="B112" s="198"/>
      <c r="C112" s="199">
        <f>Dat_02!B111</f>
        <v>45552</v>
      </c>
      <c r="D112" s="198"/>
      <c r="E112" s="200">
        <f>Dat_02!C111</f>
        <v>9.7971874988580421</v>
      </c>
      <c r="F112" s="200">
        <f>Dat_02!D111</f>
        <v>19.885734840413747</v>
      </c>
      <c r="G112" s="200">
        <f>Dat_02!E111</f>
        <v>9.7971874988580421</v>
      </c>
      <c r="I112" s="201">
        <f>Dat_02!G111</f>
        <v>0</v>
      </c>
      <c r="J112" s="207" t="str">
        <f>IF(Dat_02!H111=0,"",Dat_02!H111)</f>
        <v/>
      </c>
    </row>
    <row r="113" spans="2:10">
      <c r="B113" s="198"/>
      <c r="C113" s="199">
        <f>Dat_02!B112</f>
        <v>45553</v>
      </c>
      <c r="D113" s="198"/>
      <c r="E113" s="200">
        <f>Dat_02!C112</f>
        <v>29.041916538356869</v>
      </c>
      <c r="F113" s="200">
        <f>Dat_02!D112</f>
        <v>19.885734840413747</v>
      </c>
      <c r="G113" s="200">
        <f>Dat_02!E112</f>
        <v>19.885734840413747</v>
      </c>
      <c r="I113" s="201">
        <f>Dat_02!G112</f>
        <v>0</v>
      </c>
      <c r="J113" s="207" t="str">
        <f>IF(Dat_02!H112=0,"",Dat_02!H112)</f>
        <v/>
      </c>
    </row>
    <row r="114" spans="2:10">
      <c r="B114" s="198"/>
      <c r="C114" s="199">
        <f>Dat_02!B113</f>
        <v>45554</v>
      </c>
      <c r="D114" s="198"/>
      <c r="E114" s="200">
        <f>Dat_02!C113</f>
        <v>60.274292950355012</v>
      </c>
      <c r="F114" s="200">
        <f>Dat_02!D113</f>
        <v>19.885734840413747</v>
      </c>
      <c r="G114" s="200">
        <f>Dat_02!E113</f>
        <v>19.885734840413747</v>
      </c>
      <c r="I114" s="201">
        <f>Dat_02!G113</f>
        <v>0</v>
      </c>
      <c r="J114" s="207" t="str">
        <f>IF(Dat_02!H113=0,"",Dat_02!H113)</f>
        <v/>
      </c>
    </row>
    <row r="115" spans="2:10">
      <c r="B115" s="198"/>
      <c r="C115" s="199">
        <f>Dat_02!B114</f>
        <v>45555</v>
      </c>
      <c r="D115" s="198"/>
      <c r="E115" s="200">
        <f>Dat_02!C114</f>
        <v>63.832625350356871</v>
      </c>
      <c r="F115" s="200">
        <f>Dat_02!D114</f>
        <v>19.885734840413747</v>
      </c>
      <c r="G115" s="200">
        <f>Dat_02!E114</f>
        <v>19.885734840413747</v>
      </c>
      <c r="I115" s="201">
        <f>Dat_02!G114</f>
        <v>0</v>
      </c>
      <c r="J115" s="207" t="str">
        <f>IF(Dat_02!H114=0,"",Dat_02!H114)</f>
        <v/>
      </c>
    </row>
    <row r="116" spans="2:10">
      <c r="B116" s="198"/>
      <c r="C116" s="199">
        <f>Dat_02!B115</f>
        <v>45556</v>
      </c>
      <c r="D116" s="198"/>
      <c r="E116" s="200">
        <f>Dat_02!C115</f>
        <v>50.197664322356871</v>
      </c>
      <c r="F116" s="200">
        <f>Dat_02!D115</f>
        <v>19.885734840413747</v>
      </c>
      <c r="G116" s="200">
        <f>Dat_02!E115</f>
        <v>19.885734840413747</v>
      </c>
      <c r="I116" s="201">
        <f>Dat_02!G115</f>
        <v>0</v>
      </c>
      <c r="J116" s="207" t="str">
        <f>IF(Dat_02!H115=0,"",Dat_02!H115)</f>
        <v/>
      </c>
    </row>
    <row r="117" spans="2:10">
      <c r="B117" s="198"/>
      <c r="C117" s="199">
        <f>Dat_02!B116</f>
        <v>45557</v>
      </c>
      <c r="D117" s="198"/>
      <c r="E117" s="200">
        <f>Dat_02!C116</f>
        <v>43.917412422356882</v>
      </c>
      <c r="F117" s="200">
        <f>Dat_02!D116</f>
        <v>19.885734840413747</v>
      </c>
      <c r="G117" s="200">
        <f>Dat_02!E116</f>
        <v>19.885734840413747</v>
      </c>
      <c r="I117" s="201">
        <f>Dat_02!G116</f>
        <v>0</v>
      </c>
      <c r="J117" s="207" t="str">
        <f>IF(Dat_02!H116=0,"",Dat_02!H116)</f>
        <v/>
      </c>
    </row>
    <row r="118" spans="2:10">
      <c r="B118" s="198"/>
      <c r="C118" s="199">
        <f>Dat_02!B117</f>
        <v>45558</v>
      </c>
      <c r="D118" s="198"/>
      <c r="E118" s="200">
        <f>Dat_02!C117</f>
        <v>42.279065178355012</v>
      </c>
      <c r="F118" s="200">
        <f>Dat_02!D117</f>
        <v>19.885734840413747</v>
      </c>
      <c r="G118" s="200">
        <f>Dat_02!E117</f>
        <v>19.885734840413747</v>
      </c>
      <c r="I118" s="201">
        <f>Dat_02!G117</f>
        <v>0</v>
      </c>
      <c r="J118" s="207" t="str">
        <f>IF(Dat_02!H117=0,"",Dat_02!H117)</f>
        <v/>
      </c>
    </row>
    <row r="119" spans="2:10">
      <c r="B119" s="198"/>
      <c r="C119" s="199">
        <f>Dat_02!B118</f>
        <v>45559</v>
      </c>
      <c r="D119" s="198"/>
      <c r="E119" s="200">
        <f>Dat_02!C118</f>
        <v>43.818669830356868</v>
      </c>
      <c r="F119" s="200">
        <f>Dat_02!D118</f>
        <v>19.885734840413747</v>
      </c>
      <c r="G119" s="200">
        <f>Dat_02!E118</f>
        <v>19.885734840413747</v>
      </c>
      <c r="I119" s="201">
        <f>Dat_02!G118</f>
        <v>0</v>
      </c>
      <c r="J119" s="207" t="str">
        <f>IF(Dat_02!H118=0,"",Dat_02!H118)</f>
        <v/>
      </c>
    </row>
    <row r="120" spans="2:10">
      <c r="B120" s="198"/>
      <c r="C120" s="199">
        <f>Dat_02!B119</f>
        <v>45560</v>
      </c>
      <c r="D120" s="198"/>
      <c r="E120" s="200">
        <f>Dat_02!C119</f>
        <v>49.660390897962571</v>
      </c>
      <c r="F120" s="200">
        <f>Dat_02!D119</f>
        <v>19.885734840413747</v>
      </c>
      <c r="G120" s="200">
        <f>Dat_02!E119</f>
        <v>19.885734840413747</v>
      </c>
      <c r="I120" s="201">
        <f>Dat_02!G119</f>
        <v>0</v>
      </c>
      <c r="J120" s="207" t="str">
        <f>IF(Dat_02!H119=0,"",Dat_02!H119)</f>
        <v/>
      </c>
    </row>
    <row r="121" spans="2:10">
      <c r="B121" s="198"/>
      <c r="C121" s="199">
        <f>Dat_02!B120</f>
        <v>45561</v>
      </c>
      <c r="D121" s="198"/>
      <c r="E121" s="200">
        <f>Dat_02!C120</f>
        <v>36.476566837960704</v>
      </c>
      <c r="F121" s="200">
        <f>Dat_02!D120</f>
        <v>19.885734840413747</v>
      </c>
      <c r="G121" s="200">
        <f>Dat_02!E120</f>
        <v>19.885734840413747</v>
      </c>
      <c r="I121" s="201">
        <f>Dat_02!G120</f>
        <v>0</v>
      </c>
      <c r="J121" s="207" t="str">
        <f>IF(Dat_02!H120=0,"",Dat_02!H120)</f>
        <v/>
      </c>
    </row>
    <row r="122" spans="2:10">
      <c r="B122" s="198"/>
      <c r="C122" s="199">
        <f>Dat_02!B121</f>
        <v>45562</v>
      </c>
      <c r="D122" s="198"/>
      <c r="E122" s="200">
        <f>Dat_02!C121</f>
        <v>37.369163633964433</v>
      </c>
      <c r="F122" s="200">
        <f>Dat_02!D121</f>
        <v>19.885734840413747</v>
      </c>
      <c r="G122" s="200">
        <f>Dat_02!E121</f>
        <v>19.885734840413747</v>
      </c>
      <c r="I122" s="201">
        <f>Dat_02!G121</f>
        <v>0</v>
      </c>
      <c r="J122" s="207" t="str">
        <f>IF(Dat_02!H121=0,"",Dat_02!H121)</f>
        <v/>
      </c>
    </row>
    <row r="123" spans="2:10">
      <c r="B123" s="198"/>
      <c r="C123" s="199">
        <f>Dat_02!B122</f>
        <v>45563</v>
      </c>
      <c r="D123" s="198"/>
      <c r="E123" s="200">
        <f>Dat_02!C122</f>
        <v>45.754677949964432</v>
      </c>
      <c r="F123" s="200">
        <f>Dat_02!D122</f>
        <v>19.885734840413747</v>
      </c>
      <c r="G123" s="200">
        <f>Dat_02!E122</f>
        <v>19.885734840413747</v>
      </c>
      <c r="I123" s="201">
        <f>Dat_02!G122</f>
        <v>0</v>
      </c>
      <c r="J123" s="207" t="str">
        <f>IF(Dat_02!H122=0,"",Dat_02!H122)</f>
        <v/>
      </c>
    </row>
    <row r="124" spans="2:10">
      <c r="B124" s="198"/>
      <c r="C124" s="199">
        <f>Dat_02!B123</f>
        <v>45564</v>
      </c>
      <c r="D124" s="198"/>
      <c r="E124" s="200">
        <f>Dat_02!C123</f>
        <v>37.675193005962569</v>
      </c>
      <c r="F124" s="200">
        <f>Dat_02!D123</f>
        <v>19.885734840413747</v>
      </c>
      <c r="G124" s="200">
        <f>Dat_02!E123</f>
        <v>19.885734840413747</v>
      </c>
      <c r="I124" s="201">
        <f>Dat_02!G123</f>
        <v>0</v>
      </c>
      <c r="J124" s="207" t="str">
        <f>IF(Dat_02!H123=0,"",Dat_02!H123)</f>
        <v/>
      </c>
    </row>
    <row r="125" spans="2:10">
      <c r="B125" s="198"/>
      <c r="C125" s="199">
        <f>Dat_02!B124</f>
        <v>45565</v>
      </c>
      <c r="D125" s="198"/>
      <c r="E125" s="200">
        <f>Dat_02!C124</f>
        <v>63.93063872696257</v>
      </c>
      <c r="F125" s="200">
        <f>Dat_02!D124</f>
        <v>19.885734840413747</v>
      </c>
      <c r="G125" s="200">
        <f>Dat_02!E124</f>
        <v>19.885734840413747</v>
      </c>
      <c r="I125" s="201">
        <f>Dat_02!G124</f>
        <v>0</v>
      </c>
      <c r="J125" s="207" t="str">
        <f>IF(Dat_02!H124=0,"",Dat_02!H124)</f>
        <v/>
      </c>
    </row>
    <row r="126" spans="2:10">
      <c r="B126" s="198"/>
      <c r="C126" s="199">
        <f>Dat_02!B125</f>
        <v>45566</v>
      </c>
      <c r="D126" s="198"/>
      <c r="E126" s="200">
        <f>Dat_02!C125</f>
        <v>70.121564224962569</v>
      </c>
      <c r="F126" s="200">
        <f>Dat_02!D125</f>
        <v>40.505689176644211</v>
      </c>
      <c r="G126" s="200">
        <f>Dat_02!E125</f>
        <v>40.505689176644211</v>
      </c>
      <c r="I126" s="201">
        <f>Dat_02!G125</f>
        <v>0</v>
      </c>
      <c r="J126" s="207" t="str">
        <f>IF(Dat_02!H125=0,"",Dat_02!H125)</f>
        <v/>
      </c>
    </row>
    <row r="127" spans="2:10">
      <c r="B127" s="198" t="s">
        <v>171</v>
      </c>
      <c r="C127" s="199">
        <f>Dat_02!B126</f>
        <v>45567</v>
      </c>
      <c r="D127" s="198"/>
      <c r="E127" s="200">
        <f>Dat_02!C126</f>
        <v>58.093691492615221</v>
      </c>
      <c r="F127" s="200">
        <f>Dat_02!D126</f>
        <v>40.505689176644211</v>
      </c>
      <c r="G127" s="200">
        <f>Dat_02!E126</f>
        <v>40.505689176644211</v>
      </c>
      <c r="I127" s="201">
        <f>Dat_02!G126</f>
        <v>0</v>
      </c>
      <c r="J127" s="207" t="str">
        <f>IF(Dat_02!H126=0,"",Dat_02!H126)</f>
        <v/>
      </c>
    </row>
    <row r="128" spans="2:10">
      <c r="B128" s="198"/>
      <c r="C128" s="199">
        <f>Dat_02!B127</f>
        <v>45568</v>
      </c>
      <c r="D128" s="198"/>
      <c r="E128" s="200">
        <f>Dat_02!C127</f>
        <v>63.505284593613354</v>
      </c>
      <c r="F128" s="200">
        <f>Dat_02!D127</f>
        <v>40.505689176644211</v>
      </c>
      <c r="G128" s="200">
        <f>Dat_02!E127</f>
        <v>40.505689176644211</v>
      </c>
      <c r="I128" s="201">
        <f>Dat_02!G127</f>
        <v>0</v>
      </c>
      <c r="J128" s="207" t="str">
        <f>IF(Dat_02!H127=0,"",Dat_02!H127)</f>
        <v/>
      </c>
    </row>
    <row r="129" spans="2:10">
      <c r="B129" s="198"/>
      <c r="C129" s="199">
        <f>Dat_02!B128</f>
        <v>45569</v>
      </c>
      <c r="D129" s="198"/>
      <c r="E129" s="200">
        <f>Dat_02!C128</f>
        <v>75.064582163617089</v>
      </c>
      <c r="F129" s="200">
        <f>Dat_02!D128</f>
        <v>40.505689176644211</v>
      </c>
      <c r="G129" s="200">
        <f>Dat_02!E128</f>
        <v>40.505689176644211</v>
      </c>
      <c r="I129" s="201">
        <f>Dat_02!G128</f>
        <v>0</v>
      </c>
      <c r="J129" s="207" t="str">
        <f>IF(Dat_02!H128=0,"",Dat_02!H128)</f>
        <v/>
      </c>
    </row>
    <row r="130" spans="2:10">
      <c r="B130" s="198"/>
      <c r="C130" s="199">
        <f>Dat_02!B129</f>
        <v>45570</v>
      </c>
      <c r="D130" s="198"/>
      <c r="E130" s="200">
        <f>Dat_02!C129</f>
        <v>63.668841232613353</v>
      </c>
      <c r="F130" s="200">
        <f>Dat_02!D129</f>
        <v>40.505689176644211</v>
      </c>
      <c r="G130" s="200">
        <f>Dat_02!E129</f>
        <v>40.505689176644211</v>
      </c>
      <c r="I130" s="201">
        <f>Dat_02!G129</f>
        <v>0</v>
      </c>
      <c r="J130" s="207" t="str">
        <f>IF(Dat_02!H129=0,"",Dat_02!H129)</f>
        <v/>
      </c>
    </row>
    <row r="131" spans="2:10">
      <c r="B131" s="198"/>
      <c r="C131" s="199">
        <f>Dat_02!B130</f>
        <v>45571</v>
      </c>
      <c r="D131" s="198"/>
      <c r="E131" s="200">
        <f>Dat_02!C130</f>
        <v>32.815466096617079</v>
      </c>
      <c r="F131" s="200">
        <f>Dat_02!D130</f>
        <v>40.505689176644211</v>
      </c>
      <c r="G131" s="200">
        <f>Dat_02!E130</f>
        <v>32.815466096617079</v>
      </c>
      <c r="I131" s="201">
        <f>Dat_02!G130</f>
        <v>0</v>
      </c>
      <c r="J131" s="207" t="str">
        <f>IF(Dat_02!H130=0,"",Dat_02!H130)</f>
        <v/>
      </c>
    </row>
    <row r="132" spans="2:10">
      <c r="B132" s="198"/>
      <c r="C132" s="199">
        <f>Dat_02!B131</f>
        <v>45572</v>
      </c>
      <c r="D132" s="198"/>
      <c r="E132" s="200">
        <f>Dat_02!C131</f>
        <v>54.135526761615218</v>
      </c>
      <c r="F132" s="200">
        <f>Dat_02!D131</f>
        <v>40.505689176644211</v>
      </c>
      <c r="G132" s="200">
        <f>Dat_02!E131</f>
        <v>40.505689176644211</v>
      </c>
      <c r="I132" s="201">
        <f>Dat_02!G131</f>
        <v>0</v>
      </c>
      <c r="J132" s="207" t="str">
        <f>IF(Dat_02!H131=0,"",Dat_02!H131)</f>
        <v/>
      </c>
    </row>
    <row r="133" spans="2:10">
      <c r="B133" s="198"/>
      <c r="C133" s="199">
        <f>Dat_02!B132</f>
        <v>45573</v>
      </c>
      <c r="D133" s="198"/>
      <c r="E133" s="200">
        <f>Dat_02!C132</f>
        <v>44.202079119613359</v>
      </c>
      <c r="F133" s="200">
        <f>Dat_02!D132</f>
        <v>40.505689176644211</v>
      </c>
      <c r="G133" s="200">
        <f>Dat_02!E132</f>
        <v>40.505689176644211</v>
      </c>
      <c r="I133" s="201">
        <f>Dat_02!G132</f>
        <v>0</v>
      </c>
      <c r="J133" s="207" t="str">
        <f>IF(Dat_02!H132=0,"",Dat_02!H132)</f>
        <v/>
      </c>
    </row>
    <row r="134" spans="2:10">
      <c r="B134" s="198"/>
      <c r="C134" s="199">
        <f>Dat_02!B133</f>
        <v>45574</v>
      </c>
      <c r="D134" s="198"/>
      <c r="E134" s="200">
        <f>Dat_02!C133</f>
        <v>108.60683495363436</v>
      </c>
      <c r="F134" s="200">
        <f>Dat_02!D133</f>
        <v>40.505689176644211</v>
      </c>
      <c r="G134" s="200">
        <f>Dat_02!E133</f>
        <v>40.505689176644211</v>
      </c>
      <c r="I134" s="201">
        <f>Dat_02!G133</f>
        <v>0</v>
      </c>
      <c r="J134" s="207" t="str">
        <f>IF(Dat_02!H133=0,"",Dat_02!H133)</f>
        <v/>
      </c>
    </row>
    <row r="135" spans="2:10">
      <c r="B135" s="198"/>
      <c r="C135" s="199">
        <f>Dat_02!B134</f>
        <v>45575</v>
      </c>
      <c r="D135" s="198"/>
      <c r="E135" s="200">
        <f>Dat_02!C134</f>
        <v>142.73072479663435</v>
      </c>
      <c r="F135" s="200">
        <f>Dat_02!D134</f>
        <v>40.505689176644211</v>
      </c>
      <c r="G135" s="200">
        <f>Dat_02!E134</f>
        <v>40.505689176644211</v>
      </c>
      <c r="I135" s="201">
        <f>Dat_02!G134</f>
        <v>0</v>
      </c>
      <c r="J135" s="207" t="str">
        <f>IF(Dat_02!H134=0,"",Dat_02!H134)</f>
        <v/>
      </c>
    </row>
    <row r="136" spans="2:10">
      <c r="B136" s="198"/>
      <c r="C136" s="199">
        <f>Dat_02!B135</f>
        <v>45576</v>
      </c>
      <c r="D136" s="198"/>
      <c r="E136" s="200">
        <f>Dat_02!C135</f>
        <v>165.58634543963248</v>
      </c>
      <c r="F136" s="200">
        <f>Dat_02!D135</f>
        <v>40.505689176644211</v>
      </c>
      <c r="G136" s="200">
        <f>Dat_02!E135</f>
        <v>40.505689176644211</v>
      </c>
      <c r="I136" s="201">
        <f>Dat_02!G135</f>
        <v>0</v>
      </c>
      <c r="J136" s="207" t="str">
        <f>IF(Dat_02!H135=0,"",Dat_02!H135)</f>
        <v/>
      </c>
    </row>
    <row r="137" spans="2:10">
      <c r="B137" s="198"/>
      <c r="C137" s="199">
        <f>Dat_02!B136</f>
        <v>45577</v>
      </c>
      <c r="D137" s="198"/>
      <c r="E137" s="200">
        <f>Dat_02!C136</f>
        <v>154.05349895263433</v>
      </c>
      <c r="F137" s="200">
        <f>Dat_02!D136</f>
        <v>40.505689176644211</v>
      </c>
      <c r="G137" s="200">
        <f>Dat_02!E136</f>
        <v>40.505689176644211</v>
      </c>
      <c r="I137" s="201">
        <f>Dat_02!G136</f>
        <v>0</v>
      </c>
      <c r="J137" s="207" t="str">
        <f>IF(Dat_02!H136=0,"",Dat_02!H136)</f>
        <v/>
      </c>
    </row>
    <row r="138" spans="2:10">
      <c r="B138" s="198"/>
      <c r="C138" s="199">
        <f>Dat_02!B137</f>
        <v>45578</v>
      </c>
      <c r="D138" s="198"/>
      <c r="E138" s="200">
        <f>Dat_02!C137</f>
        <v>138.64484870463434</v>
      </c>
      <c r="F138" s="200">
        <f>Dat_02!D137</f>
        <v>40.505689176644211</v>
      </c>
      <c r="G138" s="200">
        <f>Dat_02!E137</f>
        <v>40.505689176644211</v>
      </c>
      <c r="I138" s="201">
        <f>Dat_02!G137</f>
        <v>0</v>
      </c>
      <c r="J138" s="207" t="str">
        <f>IF(Dat_02!H137=0,"",Dat_02!H137)</f>
        <v/>
      </c>
    </row>
    <row r="139" spans="2:10">
      <c r="B139" s="198"/>
      <c r="C139" s="199">
        <f>Dat_02!B138</f>
        <v>45579</v>
      </c>
      <c r="D139" s="198"/>
      <c r="E139" s="200">
        <f>Dat_02!C138</f>
        <v>175.02548310063435</v>
      </c>
      <c r="F139" s="200">
        <f>Dat_02!D138</f>
        <v>40.505689176644211</v>
      </c>
      <c r="G139" s="200">
        <f>Dat_02!E138</f>
        <v>40.505689176644211</v>
      </c>
      <c r="I139" s="201" t="str">
        <f>Dat_02!G138</f>
        <v/>
      </c>
      <c r="J139" s="207" t="str">
        <f>IF(Dat_02!H138=0,"",Dat_02!H138)</f>
        <v/>
      </c>
    </row>
    <row r="140" spans="2:10">
      <c r="B140" s="198"/>
      <c r="C140" s="199">
        <f>Dat_02!B139</f>
        <v>45580</v>
      </c>
      <c r="D140" s="198"/>
      <c r="E140" s="200">
        <f>Dat_02!C139</f>
        <v>159.86040882463246</v>
      </c>
      <c r="F140" s="200">
        <f>Dat_02!D139</f>
        <v>40.505689176644211</v>
      </c>
      <c r="G140" s="200">
        <f>Dat_02!E139</f>
        <v>40.505689176644211</v>
      </c>
      <c r="I140" s="201">
        <f>Dat_02!G139</f>
        <v>0</v>
      </c>
      <c r="J140" s="207" t="str">
        <f>IF(Dat_02!H139=0,"",Dat_02!H139)</f>
        <v/>
      </c>
    </row>
    <row r="141" spans="2:10">
      <c r="B141" s="198"/>
      <c r="C141" s="199">
        <f>Dat_02!B140</f>
        <v>45581</v>
      </c>
      <c r="D141" s="198"/>
      <c r="E141" s="200">
        <f>Dat_02!C140</f>
        <v>125.9213486946114</v>
      </c>
      <c r="F141" s="200">
        <f>Dat_02!D140</f>
        <v>40.505689176644211</v>
      </c>
      <c r="G141" s="200">
        <f>Dat_02!E140</f>
        <v>40.505689176644211</v>
      </c>
      <c r="I141" s="201">
        <f>Dat_02!G140</f>
        <v>0</v>
      </c>
      <c r="J141" s="207" t="str">
        <f>IF(Dat_02!H140=0,"",Dat_02!H140)</f>
        <v/>
      </c>
    </row>
    <row r="142" spans="2:10">
      <c r="B142" s="198"/>
      <c r="C142" s="199">
        <f>Dat_02!B141</f>
        <v>45582</v>
      </c>
      <c r="D142" s="198"/>
      <c r="E142" s="200">
        <f>Dat_02!C141</f>
        <v>121.5896730726114</v>
      </c>
      <c r="F142" s="200">
        <f>Dat_02!D141</f>
        <v>40.505689176644211</v>
      </c>
      <c r="G142" s="200">
        <f>Dat_02!E141</f>
        <v>40.505689176644211</v>
      </c>
      <c r="I142" s="201">
        <f>Dat_02!G141</f>
        <v>0</v>
      </c>
      <c r="J142" s="207" t="str">
        <f>IF(Dat_02!H141=0,"",Dat_02!H141)</f>
        <v/>
      </c>
    </row>
    <row r="143" spans="2:10">
      <c r="B143" s="198"/>
      <c r="C143" s="199">
        <f>Dat_02!B142</f>
        <v>45583</v>
      </c>
      <c r="D143" s="198"/>
      <c r="E143" s="200">
        <f>Dat_02!C142</f>
        <v>130.58842820161513</v>
      </c>
      <c r="F143" s="200">
        <f>Dat_02!D142</f>
        <v>40.505689176644211</v>
      </c>
      <c r="G143" s="200">
        <f>Dat_02!E142</f>
        <v>40.505689176644211</v>
      </c>
      <c r="I143" s="201">
        <f>Dat_02!G142</f>
        <v>0</v>
      </c>
      <c r="J143" s="207" t="str">
        <f>IF(Dat_02!H142=0,"",Dat_02!H142)</f>
        <v/>
      </c>
    </row>
    <row r="144" spans="2:10">
      <c r="B144" s="198"/>
      <c r="C144" s="199">
        <f>Dat_02!B143</f>
        <v>45584</v>
      </c>
      <c r="D144" s="198"/>
      <c r="E144" s="200">
        <f>Dat_02!C143</f>
        <v>125.70113585760954</v>
      </c>
      <c r="F144" s="200">
        <f>Dat_02!D143</f>
        <v>40.505689176644211</v>
      </c>
      <c r="G144" s="200">
        <f>Dat_02!E143</f>
        <v>40.505689176644211</v>
      </c>
      <c r="I144" s="201">
        <f>Dat_02!G143</f>
        <v>0</v>
      </c>
      <c r="J144" s="207" t="str">
        <f>IF(Dat_02!H143=0,"",Dat_02!H143)</f>
        <v/>
      </c>
    </row>
    <row r="145" spans="2:10">
      <c r="B145" s="198"/>
      <c r="C145" s="199">
        <f>Dat_02!B144</f>
        <v>45585</v>
      </c>
      <c r="D145" s="198"/>
      <c r="E145" s="200">
        <f>Dat_02!C144</f>
        <v>114.88872600161326</v>
      </c>
      <c r="F145" s="200">
        <f>Dat_02!D144</f>
        <v>40.505689176644211</v>
      </c>
      <c r="G145" s="200">
        <f>Dat_02!E144</f>
        <v>40.505689176644211</v>
      </c>
      <c r="I145" s="201">
        <f>Dat_02!G144</f>
        <v>0</v>
      </c>
      <c r="J145" s="207" t="str">
        <f>IF(Dat_02!H144=0,"",Dat_02!H144)</f>
        <v/>
      </c>
    </row>
    <row r="146" spans="2:10">
      <c r="B146" s="198"/>
      <c r="C146" s="199">
        <f>Dat_02!B145</f>
        <v>45586</v>
      </c>
      <c r="D146" s="198"/>
      <c r="E146" s="200">
        <f>Dat_02!C145</f>
        <v>146.73080581060955</v>
      </c>
      <c r="F146" s="200">
        <f>Dat_02!D145</f>
        <v>40.505689176644211</v>
      </c>
      <c r="G146" s="200">
        <f>Dat_02!E145</f>
        <v>40.505689176644211</v>
      </c>
      <c r="I146" s="201">
        <f>Dat_02!G145</f>
        <v>0</v>
      </c>
      <c r="J146" s="207" t="str">
        <f>IF(Dat_02!H145=0,"",Dat_02!H145)</f>
        <v/>
      </c>
    </row>
    <row r="147" spans="2:10">
      <c r="B147" s="198"/>
      <c r="C147" s="199">
        <f>Dat_02!B146</f>
        <v>45587</v>
      </c>
      <c r="D147" s="198"/>
      <c r="E147" s="200">
        <f>Dat_02!C146</f>
        <v>144.65192906961141</v>
      </c>
      <c r="F147" s="200">
        <f>Dat_02!D146</f>
        <v>40.505689176644211</v>
      </c>
      <c r="G147" s="200">
        <f>Dat_02!E146</f>
        <v>40.505689176644211</v>
      </c>
      <c r="I147" s="201">
        <f>Dat_02!G146</f>
        <v>0</v>
      </c>
      <c r="J147" s="207" t="str">
        <f>IF(Dat_02!H146=0,"",Dat_02!H146)</f>
        <v/>
      </c>
    </row>
    <row r="148" spans="2:10">
      <c r="B148" s="198"/>
      <c r="C148" s="199">
        <f>Dat_02!B147</f>
        <v>45588</v>
      </c>
      <c r="D148" s="198"/>
      <c r="E148" s="200">
        <f>Dat_02!C147</f>
        <v>99.56140176153194</v>
      </c>
      <c r="F148" s="200">
        <f>Dat_02!D147</f>
        <v>40.505689176644211</v>
      </c>
      <c r="G148" s="200">
        <f>Dat_02!E147</f>
        <v>40.505689176644211</v>
      </c>
      <c r="I148" s="201">
        <f>Dat_02!G147</f>
        <v>0</v>
      </c>
      <c r="J148" s="207" t="str">
        <f>IF(Dat_02!H147=0,"",Dat_02!H147)</f>
        <v/>
      </c>
    </row>
    <row r="149" spans="2:10">
      <c r="B149" s="198"/>
      <c r="C149" s="199">
        <f>Dat_02!B148</f>
        <v>45589</v>
      </c>
      <c r="D149" s="198"/>
      <c r="E149" s="200">
        <f>Dat_02!C148</f>
        <v>89.822734455530082</v>
      </c>
      <c r="F149" s="200">
        <f>Dat_02!D148</f>
        <v>40.505689176644211</v>
      </c>
      <c r="G149" s="200">
        <f>Dat_02!E148</f>
        <v>40.505689176644211</v>
      </c>
      <c r="I149" s="201">
        <f>Dat_02!G148</f>
        <v>0</v>
      </c>
      <c r="J149" s="207" t="str">
        <f>IF(Dat_02!H148=0,"",Dat_02!H148)</f>
        <v/>
      </c>
    </row>
    <row r="150" spans="2:10">
      <c r="B150" s="198"/>
      <c r="C150" s="199">
        <f>Dat_02!B149</f>
        <v>45590</v>
      </c>
      <c r="D150" s="198"/>
      <c r="E150" s="200">
        <f>Dat_02!C149</f>
        <v>108.99365419853194</v>
      </c>
      <c r="F150" s="200">
        <f>Dat_02!D149</f>
        <v>40.505689176644211</v>
      </c>
      <c r="G150" s="200">
        <f>Dat_02!E149</f>
        <v>40.505689176644211</v>
      </c>
      <c r="I150" s="201">
        <f>Dat_02!G149</f>
        <v>0</v>
      </c>
      <c r="J150" s="207" t="str">
        <f>IF(Dat_02!H149=0,"",Dat_02!H149)</f>
        <v/>
      </c>
    </row>
    <row r="151" spans="2:10">
      <c r="B151" s="198"/>
      <c r="C151" s="199">
        <f>Dat_02!B150</f>
        <v>45591</v>
      </c>
      <c r="D151" s="198"/>
      <c r="E151" s="200">
        <f>Dat_02!C150</f>
        <v>104.82100935853008</v>
      </c>
      <c r="F151" s="200">
        <f>Dat_02!D150</f>
        <v>40.505689176644211</v>
      </c>
      <c r="G151" s="200">
        <f>Dat_02!E150</f>
        <v>40.505689176644211</v>
      </c>
      <c r="I151" s="201">
        <f>Dat_02!G150</f>
        <v>0</v>
      </c>
      <c r="J151" s="207" t="str">
        <f>IF(Dat_02!H150=0,"",Dat_02!H150)</f>
        <v/>
      </c>
    </row>
    <row r="152" spans="2:10">
      <c r="B152" s="198"/>
      <c r="C152" s="199">
        <f>Dat_02!B151</f>
        <v>45592</v>
      </c>
      <c r="D152" s="198"/>
      <c r="E152" s="200">
        <f>Dat_02!C151</f>
        <v>101.01872951353381</v>
      </c>
      <c r="F152" s="200">
        <f>Dat_02!D151</f>
        <v>40.505689176644211</v>
      </c>
      <c r="G152" s="200">
        <f>Dat_02!E151</f>
        <v>40.505689176644211</v>
      </c>
      <c r="I152" s="201">
        <f>Dat_02!G151</f>
        <v>0</v>
      </c>
      <c r="J152" s="207" t="str">
        <f>IF(Dat_02!H151=0,"",Dat_02!H151)</f>
        <v/>
      </c>
    </row>
    <row r="153" spans="2:10">
      <c r="B153" s="198"/>
      <c r="C153" s="199">
        <f>Dat_02!B152</f>
        <v>45593</v>
      </c>
      <c r="D153" s="198"/>
      <c r="E153" s="200">
        <f>Dat_02!C152</f>
        <v>85.310415566530082</v>
      </c>
      <c r="F153" s="200">
        <f>Dat_02!D152</f>
        <v>40.505689176644211</v>
      </c>
      <c r="G153" s="200">
        <f>Dat_02!E152</f>
        <v>40.505689176644211</v>
      </c>
      <c r="I153" s="201">
        <f>Dat_02!G152</f>
        <v>0</v>
      </c>
      <c r="J153" s="207" t="str">
        <f>IF(Dat_02!H152=0,"",Dat_02!H152)</f>
        <v/>
      </c>
    </row>
    <row r="154" spans="2:10">
      <c r="B154" s="198"/>
      <c r="C154" s="199">
        <f>Dat_02!B153</f>
        <v>45594</v>
      </c>
      <c r="D154" s="198"/>
      <c r="E154" s="200">
        <f>Dat_02!C153</f>
        <v>107.55351393853009</v>
      </c>
      <c r="F154" s="200">
        <f>Dat_02!D153</f>
        <v>40.505689176644211</v>
      </c>
      <c r="G154" s="200">
        <f>Dat_02!E153</f>
        <v>40.505689176644211</v>
      </c>
      <c r="I154" s="201">
        <f>Dat_02!G153</f>
        <v>0</v>
      </c>
      <c r="J154" s="207" t="str">
        <f>IF(Dat_02!H153=0,"",Dat_02!H153)</f>
        <v/>
      </c>
    </row>
    <row r="155" spans="2:10">
      <c r="B155" s="198"/>
      <c r="C155" s="199">
        <f>Dat_02!B154</f>
        <v>45595</v>
      </c>
      <c r="D155" s="198"/>
      <c r="E155" s="200">
        <f>Dat_02!C154</f>
        <v>114.25556064982062</v>
      </c>
      <c r="F155" s="200">
        <f>Dat_02!D154</f>
        <v>40.505689176644211</v>
      </c>
      <c r="G155" s="200">
        <f>Dat_02!E154</f>
        <v>40.505689176644211</v>
      </c>
      <c r="I155" s="201">
        <f>Dat_02!G154</f>
        <v>0</v>
      </c>
      <c r="J155" s="207" t="str">
        <f>IF(Dat_02!H154=0,"",Dat_02!H154)</f>
        <v/>
      </c>
    </row>
    <row r="156" spans="2:10">
      <c r="B156" s="198"/>
      <c r="C156" s="199">
        <f>Dat_02!B155</f>
        <v>45596</v>
      </c>
      <c r="D156" s="198"/>
      <c r="E156" s="200">
        <f>Dat_02!C155</f>
        <v>120.62257121381876</v>
      </c>
      <c r="F156" s="200">
        <f>Dat_02!D155</f>
        <v>40.505689176644211</v>
      </c>
      <c r="G156" s="200">
        <f>Dat_02!E155</f>
        <v>40.505689176644211</v>
      </c>
      <c r="I156" s="201">
        <f>Dat_02!G155</f>
        <v>0</v>
      </c>
      <c r="J156" s="207" t="str">
        <f>IF(Dat_02!H155=0,"",Dat_02!H155)</f>
        <v/>
      </c>
    </row>
    <row r="157" spans="2:10">
      <c r="B157" s="198" t="s">
        <v>172</v>
      </c>
      <c r="C157" s="199">
        <f>Dat_02!B156</f>
        <v>45597</v>
      </c>
      <c r="D157" s="198"/>
      <c r="E157" s="200">
        <f>Dat_02!C156</f>
        <v>108.76862090582061</v>
      </c>
      <c r="F157" s="200">
        <f>Dat_02!D156</f>
        <v>82.040549235563063</v>
      </c>
      <c r="G157" s="200">
        <f>Dat_02!E156</f>
        <v>82.040549235563063</v>
      </c>
      <c r="I157" s="201">
        <f>Dat_02!G156</f>
        <v>0</v>
      </c>
      <c r="J157" s="207" t="str">
        <f>IF(Dat_02!H156=0,"",Dat_02!H156)</f>
        <v/>
      </c>
    </row>
    <row r="158" spans="2:10">
      <c r="B158" s="198"/>
      <c r="C158" s="199">
        <f>Dat_02!B157</f>
        <v>45598</v>
      </c>
      <c r="D158" s="198"/>
      <c r="E158" s="200">
        <f>Dat_02!C157</f>
        <v>109.24002074981875</v>
      </c>
      <c r="F158" s="200">
        <f>Dat_02!D157</f>
        <v>82.040549235563063</v>
      </c>
      <c r="G158" s="200">
        <f>Dat_02!E157</f>
        <v>82.040549235563063</v>
      </c>
      <c r="I158" s="201">
        <f>Dat_02!G157</f>
        <v>0</v>
      </c>
      <c r="J158" s="207" t="str">
        <f>IF(Dat_02!H157=0,"",Dat_02!H157)</f>
        <v/>
      </c>
    </row>
    <row r="159" spans="2:10">
      <c r="B159" s="198"/>
      <c r="C159" s="199">
        <f>Dat_02!B158</f>
        <v>45599</v>
      </c>
      <c r="D159" s="198"/>
      <c r="E159" s="200">
        <f>Dat_02!C158</f>
        <v>95.767610525818739</v>
      </c>
      <c r="F159" s="200">
        <f>Dat_02!D158</f>
        <v>82.040549235563063</v>
      </c>
      <c r="G159" s="200">
        <f>Dat_02!E158</f>
        <v>82.040549235563063</v>
      </c>
      <c r="I159" s="201">
        <f>Dat_02!G158</f>
        <v>0</v>
      </c>
      <c r="J159" s="207" t="str">
        <f>IF(Dat_02!H158=0,"",Dat_02!H158)</f>
        <v/>
      </c>
    </row>
    <row r="160" spans="2:10">
      <c r="B160" s="198"/>
      <c r="C160" s="199">
        <f>Dat_02!B159</f>
        <v>45600</v>
      </c>
      <c r="D160" s="198"/>
      <c r="E160" s="200">
        <f>Dat_02!C159</f>
        <v>119.16915144981874</v>
      </c>
      <c r="F160" s="200">
        <f>Dat_02!D159</f>
        <v>82.040549235563063</v>
      </c>
      <c r="G160" s="200">
        <f>Dat_02!E159</f>
        <v>82.040549235563063</v>
      </c>
      <c r="I160" s="201">
        <f>Dat_02!G159</f>
        <v>0</v>
      </c>
      <c r="J160" s="207" t="str">
        <f>IF(Dat_02!H159=0,"",Dat_02!H159)</f>
        <v/>
      </c>
    </row>
    <row r="161" spans="2:10">
      <c r="B161" s="198"/>
      <c r="C161" s="199">
        <f>Dat_02!B160</f>
        <v>45601</v>
      </c>
      <c r="D161" s="198"/>
      <c r="E161" s="200">
        <f>Dat_02!C160</f>
        <v>129.5796302458206</v>
      </c>
      <c r="F161" s="200">
        <f>Dat_02!D160</f>
        <v>82.040549235563063</v>
      </c>
      <c r="G161" s="200">
        <f>Dat_02!E160</f>
        <v>82.040549235563063</v>
      </c>
      <c r="I161" s="201">
        <f>Dat_02!G160</f>
        <v>0</v>
      </c>
      <c r="J161" s="207" t="str">
        <f>IF(Dat_02!H160=0,"",Dat_02!H160)</f>
        <v/>
      </c>
    </row>
    <row r="162" spans="2:10">
      <c r="B162" s="198"/>
      <c r="C162" s="199">
        <f>Dat_02!B161</f>
        <v>45602</v>
      </c>
      <c r="D162" s="198"/>
      <c r="E162" s="200">
        <f>Dat_02!C161</f>
        <v>87.784054995033571</v>
      </c>
      <c r="F162" s="200">
        <f>Dat_02!D161</f>
        <v>82.040549235563063</v>
      </c>
      <c r="G162" s="200">
        <f>Dat_02!E161</f>
        <v>82.040549235563063</v>
      </c>
      <c r="I162" s="201">
        <f>Dat_02!G161</f>
        <v>0</v>
      </c>
      <c r="J162" s="207" t="str">
        <f>IF(Dat_02!H161=0,"",Dat_02!H161)</f>
        <v/>
      </c>
    </row>
    <row r="163" spans="2:10">
      <c r="B163" s="198"/>
      <c r="C163" s="199">
        <f>Dat_02!B162</f>
        <v>45603</v>
      </c>
      <c r="D163" s="198"/>
      <c r="E163" s="200">
        <f>Dat_02!C162</f>
        <v>88.959883919029849</v>
      </c>
      <c r="F163" s="200">
        <f>Dat_02!D162</f>
        <v>82.040549235563063</v>
      </c>
      <c r="G163" s="200">
        <f>Dat_02!E162</f>
        <v>82.040549235563063</v>
      </c>
      <c r="I163" s="201">
        <f>Dat_02!G162</f>
        <v>0</v>
      </c>
      <c r="J163" s="207" t="str">
        <f>IF(Dat_02!H162=0,"",Dat_02!H162)</f>
        <v/>
      </c>
    </row>
    <row r="164" spans="2:10">
      <c r="B164" s="198"/>
      <c r="C164" s="199">
        <f>Dat_02!B163</f>
        <v>45604</v>
      </c>
      <c r="D164" s="198"/>
      <c r="E164" s="200">
        <f>Dat_02!C163</f>
        <v>102.86864674303358</v>
      </c>
      <c r="F164" s="200">
        <f>Dat_02!D163</f>
        <v>82.040549235563063</v>
      </c>
      <c r="G164" s="200">
        <f>Dat_02!E163</f>
        <v>82.040549235563063</v>
      </c>
      <c r="I164" s="201">
        <f>Dat_02!G163</f>
        <v>0</v>
      </c>
      <c r="J164" s="207" t="str">
        <f>IF(Dat_02!H163=0,"",Dat_02!H163)</f>
        <v/>
      </c>
    </row>
    <row r="165" spans="2:10">
      <c r="B165" s="198"/>
      <c r="C165" s="199">
        <f>Dat_02!B164</f>
        <v>45605</v>
      </c>
      <c r="D165" s="198"/>
      <c r="E165" s="200">
        <f>Dat_02!C164</f>
        <v>68.990421255031706</v>
      </c>
      <c r="F165" s="200">
        <f>Dat_02!D164</f>
        <v>82.040549235563063</v>
      </c>
      <c r="G165" s="200">
        <f>Dat_02!E164</f>
        <v>68.990421255031706</v>
      </c>
      <c r="I165" s="201">
        <f>Dat_02!G164</f>
        <v>0</v>
      </c>
      <c r="J165" s="207" t="str">
        <f>IF(Dat_02!H164=0,"",Dat_02!H164)</f>
        <v/>
      </c>
    </row>
    <row r="166" spans="2:10">
      <c r="B166" s="198"/>
      <c r="C166" s="199">
        <f>Dat_02!B165</f>
        <v>45606</v>
      </c>
      <c r="D166" s="198"/>
      <c r="E166" s="200">
        <f>Dat_02!C165</f>
        <v>48.830029151029841</v>
      </c>
      <c r="F166" s="200">
        <f>Dat_02!D165</f>
        <v>82.040549235563063</v>
      </c>
      <c r="G166" s="200">
        <f>Dat_02!E165</f>
        <v>48.830029151029841</v>
      </c>
      <c r="I166" s="201">
        <f>Dat_02!G165</f>
        <v>0</v>
      </c>
      <c r="J166" s="207" t="str">
        <f>IF(Dat_02!H165=0,"",Dat_02!H165)</f>
        <v/>
      </c>
    </row>
    <row r="167" spans="2:10">
      <c r="B167" s="198"/>
      <c r="C167" s="199">
        <f>Dat_02!B166</f>
        <v>45607</v>
      </c>
      <c r="D167" s="198"/>
      <c r="E167" s="200">
        <f>Dat_02!C166</f>
        <v>48.744043399035434</v>
      </c>
      <c r="F167" s="200">
        <f>Dat_02!D166</f>
        <v>82.040549235563063</v>
      </c>
      <c r="G167" s="200">
        <f>Dat_02!E166</f>
        <v>48.744043399035434</v>
      </c>
      <c r="I167" s="201">
        <f>Dat_02!G166</f>
        <v>0</v>
      </c>
      <c r="J167" s="207" t="str">
        <f>IF(Dat_02!H166=0,"",Dat_02!H166)</f>
        <v/>
      </c>
    </row>
    <row r="168" spans="2:10">
      <c r="B168" s="198"/>
      <c r="C168" s="199">
        <f>Dat_02!B167</f>
        <v>45608</v>
      </c>
      <c r="D168" s="198"/>
      <c r="E168" s="200">
        <f>Dat_02!C167</f>
        <v>40.111187227031714</v>
      </c>
      <c r="F168" s="200">
        <f>Dat_02!D167</f>
        <v>82.040549235563063</v>
      </c>
      <c r="G168" s="200">
        <f>Dat_02!E167</f>
        <v>40.111187227031714</v>
      </c>
      <c r="I168" s="201">
        <f>Dat_02!G167</f>
        <v>0</v>
      </c>
      <c r="J168" s="207" t="str">
        <f>IF(Dat_02!H167=0,"",Dat_02!H167)</f>
        <v/>
      </c>
    </row>
    <row r="169" spans="2:10">
      <c r="B169" s="198"/>
      <c r="C169" s="199">
        <f>Dat_02!B168</f>
        <v>45609</v>
      </c>
      <c r="D169" s="198"/>
      <c r="E169" s="200">
        <f>Dat_02!C168</f>
        <v>68.92554444516648</v>
      </c>
      <c r="F169" s="200">
        <f>Dat_02!D168</f>
        <v>82.040549235563063</v>
      </c>
      <c r="G169" s="200">
        <f>Dat_02!E168</f>
        <v>68.92554444516648</v>
      </c>
      <c r="I169" s="201">
        <f>Dat_02!G168</f>
        <v>0</v>
      </c>
      <c r="J169" s="207" t="str">
        <f>IF(Dat_02!H168=0,"",Dat_02!H168)</f>
        <v/>
      </c>
    </row>
    <row r="170" spans="2:10">
      <c r="B170" s="198"/>
      <c r="C170" s="199">
        <f>Dat_02!B169</f>
        <v>45610</v>
      </c>
      <c r="D170" s="198"/>
      <c r="E170" s="200">
        <f>Dat_02!C169</f>
        <v>75.349298657168347</v>
      </c>
      <c r="F170" s="200">
        <f>Dat_02!D169</f>
        <v>82.040549235563063</v>
      </c>
      <c r="G170" s="200">
        <f>Dat_02!E169</f>
        <v>75.349298657168347</v>
      </c>
      <c r="I170" s="201" t="str">
        <f>Dat_02!G169</f>
        <v/>
      </c>
      <c r="J170" s="207" t="str">
        <f>IF(Dat_02!H169=0,"",Dat_02!H169)</f>
        <v/>
      </c>
    </row>
    <row r="171" spans="2:10">
      <c r="B171" s="198"/>
      <c r="C171" s="199">
        <f>Dat_02!B170</f>
        <v>45611</v>
      </c>
      <c r="D171" s="198"/>
      <c r="E171" s="200">
        <f>Dat_02!C170</f>
        <v>68.27269855316834</v>
      </c>
      <c r="F171" s="200">
        <f>Dat_02!D170</f>
        <v>82.040549235563063</v>
      </c>
      <c r="G171" s="200">
        <f>Dat_02!E170</f>
        <v>68.27269855316834</v>
      </c>
      <c r="I171" s="201">
        <f>Dat_02!G170</f>
        <v>0</v>
      </c>
      <c r="J171" s="207" t="str">
        <f>IF(Dat_02!H170=0,"",Dat_02!H170)</f>
        <v/>
      </c>
    </row>
    <row r="172" spans="2:10">
      <c r="B172" s="198"/>
      <c r="C172" s="199">
        <f>Dat_02!B171</f>
        <v>45612</v>
      </c>
      <c r="D172" s="198"/>
      <c r="E172" s="200">
        <f>Dat_02!C171</f>
        <v>58.901813425168335</v>
      </c>
      <c r="F172" s="200">
        <f>Dat_02!D171</f>
        <v>82.040549235563063</v>
      </c>
      <c r="G172" s="200">
        <f>Dat_02!E171</f>
        <v>58.901813425168335</v>
      </c>
      <c r="I172" s="201">
        <f>Dat_02!G171</f>
        <v>0</v>
      </c>
      <c r="J172" s="207" t="str">
        <f>IF(Dat_02!H171=0,"",Dat_02!H171)</f>
        <v/>
      </c>
    </row>
    <row r="173" spans="2:10">
      <c r="B173" s="198"/>
      <c r="C173" s="199">
        <f>Dat_02!B172</f>
        <v>45613</v>
      </c>
      <c r="D173" s="198"/>
      <c r="E173" s="200">
        <f>Dat_02!C172</f>
        <v>58.648718901168337</v>
      </c>
      <c r="F173" s="200">
        <f>Dat_02!D172</f>
        <v>82.040549235563063</v>
      </c>
      <c r="G173" s="200">
        <f>Dat_02!E172</f>
        <v>58.648718901168337</v>
      </c>
      <c r="I173" s="201">
        <f>Dat_02!G172</f>
        <v>0</v>
      </c>
      <c r="J173" s="207" t="str">
        <f>IF(Dat_02!H172=0,"",Dat_02!H172)</f>
        <v/>
      </c>
    </row>
    <row r="174" spans="2:10">
      <c r="B174" s="198"/>
      <c r="C174" s="199">
        <f>Dat_02!B173</f>
        <v>45614</v>
      </c>
      <c r="D174" s="198"/>
      <c r="E174" s="200">
        <f>Dat_02!C173</f>
        <v>72.756647989168343</v>
      </c>
      <c r="F174" s="200">
        <f>Dat_02!D173</f>
        <v>82.040549235563063</v>
      </c>
      <c r="G174" s="200">
        <f>Dat_02!E173</f>
        <v>72.756647989168343</v>
      </c>
      <c r="I174" s="201">
        <f>Dat_02!G173</f>
        <v>0</v>
      </c>
      <c r="J174" s="207" t="str">
        <f>IF(Dat_02!H173=0,"",Dat_02!H173)</f>
        <v/>
      </c>
    </row>
    <row r="175" spans="2:10">
      <c r="B175" s="198"/>
      <c r="C175" s="199">
        <f>Dat_02!B174</f>
        <v>45615</v>
      </c>
      <c r="D175" s="198"/>
      <c r="E175" s="200">
        <f>Dat_02!C174</f>
        <v>61.97943983716835</v>
      </c>
      <c r="F175" s="200">
        <f>Dat_02!D174</f>
        <v>82.040549235563063</v>
      </c>
      <c r="G175" s="200">
        <f>Dat_02!E174</f>
        <v>61.97943983716835</v>
      </c>
      <c r="I175" s="201">
        <f>Dat_02!G174</f>
        <v>0</v>
      </c>
      <c r="J175" s="207" t="str">
        <f>IF(Dat_02!H174=0,"",Dat_02!H174)</f>
        <v/>
      </c>
    </row>
    <row r="176" spans="2:10">
      <c r="B176" s="198"/>
      <c r="C176" s="199">
        <f>Dat_02!B175</f>
        <v>45616</v>
      </c>
      <c r="D176" s="198"/>
      <c r="E176" s="200">
        <f>Dat_02!C175</f>
        <v>57.658339443207119</v>
      </c>
      <c r="F176" s="200">
        <f>Dat_02!D175</f>
        <v>82.040549235563063</v>
      </c>
      <c r="G176" s="200">
        <f>Dat_02!E175</f>
        <v>57.658339443207119</v>
      </c>
      <c r="I176" s="201">
        <f>Dat_02!G175</f>
        <v>0</v>
      </c>
      <c r="J176" s="207" t="str">
        <f>IF(Dat_02!H175=0,"",Dat_02!H175)</f>
        <v/>
      </c>
    </row>
    <row r="177" spans="2:10">
      <c r="B177" s="198"/>
      <c r="C177" s="199">
        <f>Dat_02!B176</f>
        <v>45617</v>
      </c>
      <c r="D177" s="198"/>
      <c r="E177" s="200">
        <f>Dat_02!C176</f>
        <v>54.582812007208979</v>
      </c>
      <c r="F177" s="200">
        <f>Dat_02!D176</f>
        <v>82.040549235563063</v>
      </c>
      <c r="G177" s="200">
        <f>Dat_02!E176</f>
        <v>54.582812007208979</v>
      </c>
      <c r="I177" s="201">
        <f>Dat_02!G176</f>
        <v>0</v>
      </c>
      <c r="J177" s="207" t="str">
        <f>IF(Dat_02!H176=0,"",Dat_02!H176)</f>
        <v/>
      </c>
    </row>
    <row r="178" spans="2:10">
      <c r="B178" s="198"/>
      <c r="C178" s="199">
        <f>Dat_02!B177</f>
        <v>45618</v>
      </c>
      <c r="D178" s="198"/>
      <c r="E178" s="200">
        <f>Dat_02!C177</f>
        <v>77.586020579208977</v>
      </c>
      <c r="F178" s="200">
        <f>Dat_02!D177</f>
        <v>82.040549235563063</v>
      </c>
      <c r="G178" s="200">
        <f>Dat_02!E177</f>
        <v>77.586020579208977</v>
      </c>
      <c r="I178" s="201">
        <f>Dat_02!G177</f>
        <v>0</v>
      </c>
      <c r="J178" s="207" t="str">
        <f>IF(Dat_02!H177=0,"",Dat_02!H177)</f>
        <v/>
      </c>
    </row>
    <row r="179" spans="2:10">
      <c r="B179" s="198"/>
      <c r="C179" s="199">
        <f>Dat_02!B178</f>
        <v>45619</v>
      </c>
      <c r="D179" s="198"/>
      <c r="E179" s="200">
        <f>Dat_02!C178</f>
        <v>44.323642247205257</v>
      </c>
      <c r="F179" s="200">
        <f>Dat_02!D178</f>
        <v>82.040549235563063</v>
      </c>
      <c r="G179" s="200">
        <f>Dat_02!E178</f>
        <v>44.323642247205257</v>
      </c>
      <c r="I179" s="201">
        <f>Dat_02!G178</f>
        <v>0</v>
      </c>
      <c r="J179" s="207" t="str">
        <f>IF(Dat_02!H178=0,"",Dat_02!H178)</f>
        <v/>
      </c>
    </row>
    <row r="180" spans="2:10">
      <c r="B180" s="198"/>
      <c r="C180" s="199">
        <f>Dat_02!B179</f>
        <v>45620</v>
      </c>
      <c r="D180" s="198"/>
      <c r="E180" s="200">
        <f>Dat_02!C179</f>
        <v>44.593260563208986</v>
      </c>
      <c r="F180" s="200">
        <f>Dat_02!D179</f>
        <v>82.040549235563063</v>
      </c>
      <c r="G180" s="200">
        <f>Dat_02!E179</f>
        <v>44.593260563208986</v>
      </c>
      <c r="I180" s="201">
        <f>Dat_02!G179</f>
        <v>0</v>
      </c>
      <c r="J180" s="207" t="str">
        <f>IF(Dat_02!H179=0,"",Dat_02!H179)</f>
        <v/>
      </c>
    </row>
    <row r="181" spans="2:10">
      <c r="B181" s="198"/>
      <c r="C181" s="199">
        <f>Dat_02!B180</f>
        <v>45621</v>
      </c>
      <c r="D181" s="198"/>
      <c r="E181" s="200">
        <f>Dat_02!C180</f>
        <v>66.958570435208983</v>
      </c>
      <c r="F181" s="200">
        <f>Dat_02!D180</f>
        <v>82.040549235563063</v>
      </c>
      <c r="G181" s="200">
        <f>Dat_02!E180</f>
        <v>66.958570435208983</v>
      </c>
      <c r="I181" s="201">
        <f>Dat_02!G180</f>
        <v>0</v>
      </c>
      <c r="J181" s="207" t="str">
        <f>IF(Dat_02!H180=0,"",Dat_02!H180)</f>
        <v/>
      </c>
    </row>
    <row r="182" spans="2:10">
      <c r="B182" s="198"/>
      <c r="C182" s="199">
        <f>Dat_02!B181</f>
        <v>45622</v>
      </c>
      <c r="D182" s="198"/>
      <c r="E182" s="200">
        <f>Dat_02!C181</f>
        <v>92.805289711207124</v>
      </c>
      <c r="F182" s="200">
        <f>Dat_02!D181</f>
        <v>82.040549235563063</v>
      </c>
      <c r="G182" s="200">
        <f>Dat_02!E181</f>
        <v>82.040549235563063</v>
      </c>
      <c r="I182" s="201">
        <f>Dat_02!G181</f>
        <v>0</v>
      </c>
      <c r="J182" s="207" t="str">
        <f>IF(Dat_02!H181=0,"",Dat_02!H181)</f>
        <v/>
      </c>
    </row>
    <row r="183" spans="2:10">
      <c r="B183" s="198"/>
      <c r="C183" s="199">
        <f>Dat_02!B182</f>
        <v>45623</v>
      </c>
      <c r="D183" s="198"/>
      <c r="E183" s="200">
        <f>Dat_02!C182</f>
        <v>88.930039110948542</v>
      </c>
      <c r="F183" s="200">
        <f>Dat_02!D182</f>
        <v>82.040549235563063</v>
      </c>
      <c r="G183" s="200">
        <f>Dat_02!E182</f>
        <v>82.040549235563063</v>
      </c>
      <c r="I183" s="201">
        <f>Dat_02!G182</f>
        <v>0</v>
      </c>
      <c r="J183" s="207" t="str">
        <f>IF(Dat_02!H182=0,"",Dat_02!H182)</f>
        <v/>
      </c>
    </row>
    <row r="184" spans="2:10">
      <c r="B184" s="198"/>
      <c r="C184" s="199">
        <f>Dat_02!B183</f>
        <v>45624</v>
      </c>
      <c r="D184" s="198"/>
      <c r="E184" s="200">
        <f>Dat_02!C183</f>
        <v>87.891229222946663</v>
      </c>
      <c r="F184" s="200">
        <f>Dat_02!D183</f>
        <v>82.040549235563063</v>
      </c>
      <c r="G184" s="200">
        <f>Dat_02!E183</f>
        <v>82.040549235563063</v>
      </c>
      <c r="I184" s="201">
        <f>Dat_02!G183</f>
        <v>0</v>
      </c>
      <c r="J184" s="207" t="str">
        <f>IF(Dat_02!H183=0,"",Dat_02!H183)</f>
        <v/>
      </c>
    </row>
    <row r="185" spans="2:10">
      <c r="B185" s="198"/>
      <c r="C185" s="199">
        <f>Dat_02!B184</f>
        <v>45625</v>
      </c>
      <c r="D185" s="198"/>
      <c r="E185" s="200">
        <f>Dat_02!C184</f>
        <v>83.703371382946671</v>
      </c>
      <c r="F185" s="200">
        <f>Dat_02!D184</f>
        <v>82.040549235563063</v>
      </c>
      <c r="G185" s="200">
        <f>Dat_02!E184</f>
        <v>82.040549235563063</v>
      </c>
      <c r="I185" s="201">
        <f>Dat_02!G184</f>
        <v>0</v>
      </c>
      <c r="J185" s="207" t="str">
        <f>IF(Dat_02!H184=0,"",Dat_02!H184)</f>
        <v/>
      </c>
    </row>
    <row r="186" spans="2:10">
      <c r="B186" s="198"/>
      <c r="C186" s="199">
        <f>Dat_02!B185</f>
        <v>45626</v>
      </c>
      <c r="D186" s="198"/>
      <c r="E186" s="200">
        <f>Dat_02!C185</f>
        <v>75.625630506946678</v>
      </c>
      <c r="F186" s="200">
        <f>Dat_02!D185</f>
        <v>82.040549235563063</v>
      </c>
      <c r="G186" s="200">
        <f>Dat_02!E185</f>
        <v>75.625630506946678</v>
      </c>
      <c r="I186" s="201">
        <f>Dat_02!G185</f>
        <v>0</v>
      </c>
      <c r="J186" s="207" t="str">
        <f>IF(Dat_02!H185=0,"",Dat_02!H185)</f>
        <v/>
      </c>
    </row>
    <row r="187" spans="2:10">
      <c r="B187" s="198"/>
      <c r="C187" s="199">
        <f>Dat_02!B186</f>
        <v>45627</v>
      </c>
      <c r="D187" s="198"/>
      <c r="E187" s="200">
        <f>Dat_02!C186</f>
        <v>83.340873374948544</v>
      </c>
      <c r="F187" s="200">
        <f>Dat_02!D186</f>
        <v>104.34579689704225</v>
      </c>
      <c r="G187" s="200">
        <f>Dat_02!E186</f>
        <v>83.340873374948544</v>
      </c>
      <c r="I187" s="201">
        <f>Dat_02!G186</f>
        <v>0</v>
      </c>
      <c r="J187" s="207" t="str">
        <f>IF(Dat_02!H186=0,"",Dat_02!H186)</f>
        <v/>
      </c>
    </row>
    <row r="188" spans="2:10">
      <c r="B188" s="198" t="s">
        <v>173</v>
      </c>
      <c r="C188" s="199">
        <f>Dat_02!B187</f>
        <v>45628</v>
      </c>
      <c r="D188" s="198"/>
      <c r="E188" s="200">
        <f>Dat_02!C187</f>
        <v>89.493504218946683</v>
      </c>
      <c r="F188" s="200">
        <f>Dat_02!D187</f>
        <v>104.34579689704225</v>
      </c>
      <c r="G188" s="200">
        <f>Dat_02!E187</f>
        <v>89.493504218946683</v>
      </c>
      <c r="I188" s="201">
        <f>Dat_02!G187</f>
        <v>0</v>
      </c>
      <c r="J188" s="207" t="str">
        <f>IF(Dat_02!H187=0,"",Dat_02!H187)</f>
        <v/>
      </c>
    </row>
    <row r="189" spans="2:10">
      <c r="B189" s="198"/>
      <c r="C189" s="199">
        <f>Dat_02!B188</f>
        <v>45629</v>
      </c>
      <c r="D189" s="198"/>
      <c r="E189" s="200">
        <f>Dat_02!C188</f>
        <v>85.292821534948544</v>
      </c>
      <c r="F189" s="200">
        <f>Dat_02!D188</f>
        <v>104.34579689704225</v>
      </c>
      <c r="G189" s="200">
        <f>Dat_02!E188</f>
        <v>85.292821534948544</v>
      </c>
      <c r="I189" s="201">
        <f>Dat_02!G188</f>
        <v>0</v>
      </c>
      <c r="J189" s="207" t="str">
        <f>IF(Dat_02!H188=0,"",Dat_02!H188)</f>
        <v/>
      </c>
    </row>
    <row r="190" spans="2:10">
      <c r="B190" s="198"/>
      <c r="C190" s="199">
        <f>Dat_02!B189</f>
        <v>45630</v>
      </c>
      <c r="D190" s="198"/>
      <c r="E190" s="200">
        <f>Dat_02!C189</f>
        <v>79.073749727937155</v>
      </c>
      <c r="F190" s="200">
        <f>Dat_02!D189</f>
        <v>104.34579689704225</v>
      </c>
      <c r="G190" s="200">
        <f>Dat_02!E189</f>
        <v>79.073749727937155</v>
      </c>
      <c r="I190" s="201">
        <f>Dat_02!G189</f>
        <v>0</v>
      </c>
      <c r="J190" s="207" t="str">
        <f>IF(Dat_02!H189=0,"",Dat_02!H189)</f>
        <v/>
      </c>
    </row>
    <row r="191" spans="2:10">
      <c r="B191" s="198"/>
      <c r="C191" s="199">
        <f>Dat_02!B190</f>
        <v>45631</v>
      </c>
      <c r="D191" s="198"/>
      <c r="E191" s="200">
        <f>Dat_02!C190</f>
        <v>78.918242007935291</v>
      </c>
      <c r="F191" s="200">
        <f>Dat_02!D190</f>
        <v>104.34579689704225</v>
      </c>
      <c r="G191" s="200">
        <f>Dat_02!E190</f>
        <v>78.918242007935291</v>
      </c>
      <c r="I191" s="201">
        <f>Dat_02!G190</f>
        <v>0</v>
      </c>
      <c r="J191" s="207" t="str">
        <f>IF(Dat_02!H190=0,"",Dat_02!H190)</f>
        <v/>
      </c>
    </row>
    <row r="192" spans="2:10">
      <c r="B192" s="198"/>
      <c r="C192" s="199">
        <f>Dat_02!B191</f>
        <v>45632</v>
      </c>
      <c r="D192" s="198"/>
      <c r="E192" s="200">
        <f>Dat_02!C191</f>
        <v>64.075719263935298</v>
      </c>
      <c r="F192" s="200">
        <f>Dat_02!D191</f>
        <v>104.34579689704225</v>
      </c>
      <c r="G192" s="200">
        <f>Dat_02!E191</f>
        <v>64.075719263935298</v>
      </c>
      <c r="I192" s="201">
        <f>Dat_02!G191</f>
        <v>0</v>
      </c>
      <c r="J192" s="207" t="str">
        <f>IF(Dat_02!H191=0,"",Dat_02!H191)</f>
        <v/>
      </c>
    </row>
    <row r="193" spans="2:10">
      <c r="B193" s="198"/>
      <c r="C193" s="199">
        <f>Dat_02!B192</f>
        <v>45633</v>
      </c>
      <c r="D193" s="198"/>
      <c r="E193" s="200">
        <f>Dat_02!C192</f>
        <v>40.149759339937155</v>
      </c>
      <c r="F193" s="200">
        <f>Dat_02!D192</f>
        <v>104.34579689704225</v>
      </c>
      <c r="G193" s="200">
        <f>Dat_02!E192</f>
        <v>40.149759339937155</v>
      </c>
      <c r="I193" s="201">
        <f>Dat_02!G192</f>
        <v>0</v>
      </c>
      <c r="J193" s="207" t="str">
        <f>IF(Dat_02!H192=0,"",Dat_02!H192)</f>
        <v/>
      </c>
    </row>
    <row r="194" spans="2:10">
      <c r="B194" s="198"/>
      <c r="C194" s="199">
        <f>Dat_02!B193</f>
        <v>45634</v>
      </c>
      <c r="D194" s="198"/>
      <c r="E194" s="200">
        <f>Dat_02!C193</f>
        <v>38.793037971937153</v>
      </c>
      <c r="F194" s="200">
        <f>Dat_02!D193</f>
        <v>104.34579689704225</v>
      </c>
      <c r="G194" s="200">
        <f>Dat_02!E193</f>
        <v>38.793037971937153</v>
      </c>
      <c r="I194" s="201">
        <f>Dat_02!G193</f>
        <v>0</v>
      </c>
      <c r="J194" s="207" t="str">
        <f>IF(Dat_02!H193=0,"",Dat_02!H193)</f>
        <v/>
      </c>
    </row>
    <row r="195" spans="2:10">
      <c r="B195" s="198"/>
      <c r="C195" s="199">
        <f>Dat_02!B194</f>
        <v>45635</v>
      </c>
      <c r="D195" s="198"/>
      <c r="E195" s="200">
        <f>Dat_02!C194</f>
        <v>63.311381991937154</v>
      </c>
      <c r="F195" s="200">
        <f>Dat_02!D194</f>
        <v>104.34579689704225</v>
      </c>
      <c r="G195" s="200">
        <f>Dat_02!E194</f>
        <v>63.311381991937154</v>
      </c>
      <c r="I195" s="201">
        <f>Dat_02!G194</f>
        <v>0</v>
      </c>
      <c r="J195" s="207" t="str">
        <f>IF(Dat_02!H194=0,"",Dat_02!H194)</f>
        <v/>
      </c>
    </row>
    <row r="196" spans="2:10">
      <c r="B196" s="198"/>
      <c r="C196" s="199">
        <f>Dat_02!B195</f>
        <v>45636</v>
      </c>
      <c r="D196" s="198"/>
      <c r="E196" s="200">
        <f>Dat_02!C195</f>
        <v>102.48415081593529</v>
      </c>
      <c r="F196" s="200">
        <f>Dat_02!D195</f>
        <v>104.34579689704225</v>
      </c>
      <c r="G196" s="200">
        <f>Dat_02!E195</f>
        <v>102.48415081593529</v>
      </c>
      <c r="I196" s="201">
        <f>Dat_02!G195</f>
        <v>0</v>
      </c>
      <c r="J196" s="207" t="str">
        <f>IF(Dat_02!H195=0,"",Dat_02!H195)</f>
        <v/>
      </c>
    </row>
    <row r="197" spans="2:10">
      <c r="B197" s="198"/>
      <c r="C197" s="199">
        <f>Dat_02!B196</f>
        <v>45637</v>
      </c>
      <c r="D197" s="198"/>
      <c r="E197" s="200">
        <f>Dat_02!C196</f>
        <v>108.21798146243319</v>
      </c>
      <c r="F197" s="200">
        <f>Dat_02!D196</f>
        <v>104.34579689704225</v>
      </c>
      <c r="G197" s="200">
        <f>Dat_02!E196</f>
        <v>104.34579689704225</v>
      </c>
      <c r="I197" s="201">
        <f>Dat_02!G196</f>
        <v>0</v>
      </c>
      <c r="J197" s="207" t="str">
        <f>IF(Dat_02!H196=0,"",Dat_02!H196)</f>
        <v/>
      </c>
    </row>
    <row r="198" spans="2:10">
      <c r="B198" s="198"/>
      <c r="C198" s="199">
        <f>Dat_02!B197</f>
        <v>45638</v>
      </c>
      <c r="D198" s="198"/>
      <c r="E198" s="200">
        <f>Dat_02!C197</f>
        <v>113.79107090243134</v>
      </c>
      <c r="F198" s="200">
        <f>Dat_02!D197</f>
        <v>104.34579689704225</v>
      </c>
      <c r="G198" s="200">
        <f>Dat_02!E197</f>
        <v>104.34579689704225</v>
      </c>
      <c r="I198" s="201">
        <f>Dat_02!G197</f>
        <v>0</v>
      </c>
      <c r="J198" s="207" t="str">
        <f>IF(Dat_02!H197=0,"",Dat_02!H197)</f>
        <v/>
      </c>
    </row>
    <row r="199" spans="2:10">
      <c r="B199" s="198"/>
      <c r="C199" s="199">
        <f>Dat_02!B198</f>
        <v>45639</v>
      </c>
      <c r="D199" s="198"/>
      <c r="E199" s="200">
        <f>Dat_02!C198</f>
        <v>110.81075029043133</v>
      </c>
      <c r="F199" s="200">
        <f>Dat_02!D198</f>
        <v>104.34579689704225</v>
      </c>
      <c r="G199" s="200">
        <f>Dat_02!E198</f>
        <v>104.34579689704225</v>
      </c>
      <c r="I199" s="201">
        <f>Dat_02!G198</f>
        <v>0</v>
      </c>
      <c r="J199" s="207" t="str">
        <f>IF(Dat_02!H198=0,"",Dat_02!H198)</f>
        <v/>
      </c>
    </row>
    <row r="200" spans="2:10">
      <c r="B200" s="198"/>
      <c r="C200" s="199">
        <f>Dat_02!B199</f>
        <v>45640</v>
      </c>
      <c r="D200" s="198"/>
      <c r="E200" s="200">
        <f>Dat_02!C199</f>
        <v>80.217872350431335</v>
      </c>
      <c r="F200" s="200">
        <f>Dat_02!D199</f>
        <v>104.34579689704225</v>
      </c>
      <c r="G200" s="200">
        <f>Dat_02!E199</f>
        <v>80.217872350431335</v>
      </c>
      <c r="I200" s="201" t="str">
        <f>Dat_02!G199</f>
        <v/>
      </c>
      <c r="J200" s="207" t="str">
        <f>IF(Dat_02!H199=0,"",Dat_02!H199)</f>
        <v/>
      </c>
    </row>
    <row r="201" spans="2:10">
      <c r="B201" s="198"/>
      <c r="C201" s="199">
        <f>Dat_02!B200</f>
        <v>45641</v>
      </c>
      <c r="D201" s="198"/>
      <c r="E201" s="200">
        <f>Dat_02!C200</f>
        <v>39.711118074433195</v>
      </c>
      <c r="F201" s="200">
        <f>Dat_02!D200</f>
        <v>104.34579689704225</v>
      </c>
      <c r="G201" s="200">
        <f>Dat_02!E200</f>
        <v>39.711118074433195</v>
      </c>
      <c r="I201" s="201">
        <f>Dat_02!G200</f>
        <v>0</v>
      </c>
      <c r="J201" s="207" t="str">
        <f>IF(Dat_02!H200=0,"",Dat_02!H200)</f>
        <v/>
      </c>
    </row>
    <row r="202" spans="2:10">
      <c r="B202" s="198"/>
      <c r="C202" s="199">
        <f>Dat_02!B201</f>
        <v>45642</v>
      </c>
      <c r="D202" s="198"/>
      <c r="E202" s="200">
        <f>Dat_02!C201</f>
        <v>64.083001914433197</v>
      </c>
      <c r="F202" s="200">
        <f>Dat_02!D201</f>
        <v>104.34579689704225</v>
      </c>
      <c r="G202" s="200">
        <f>Dat_02!E201</f>
        <v>64.083001914433197</v>
      </c>
      <c r="I202" s="201">
        <f>Dat_02!G201</f>
        <v>0</v>
      </c>
      <c r="J202" s="207" t="str">
        <f>IF(Dat_02!H201=0,"",Dat_02!H201)</f>
        <v/>
      </c>
    </row>
    <row r="203" spans="2:10">
      <c r="B203" s="198"/>
      <c r="C203" s="199">
        <f>Dat_02!B202</f>
        <v>45643</v>
      </c>
      <c r="D203" s="198"/>
      <c r="E203" s="200">
        <f>Dat_02!C202</f>
        <v>70.465533982431324</v>
      </c>
      <c r="F203" s="200">
        <f>Dat_02!D202</f>
        <v>104.34579689704225</v>
      </c>
      <c r="G203" s="200">
        <f>Dat_02!E202</f>
        <v>70.465533982431324</v>
      </c>
      <c r="I203" s="201">
        <f>Dat_02!G202</f>
        <v>0</v>
      </c>
      <c r="J203" s="207" t="str">
        <f>IF(Dat_02!H202=0,"",Dat_02!H202)</f>
        <v/>
      </c>
    </row>
    <row r="204" spans="2:10">
      <c r="B204" s="198"/>
      <c r="C204" s="199">
        <f>Dat_02!B203</f>
        <v>45644</v>
      </c>
      <c r="D204" s="198"/>
      <c r="E204" s="200">
        <f>Dat_02!C203</f>
        <v>92.589848698818443</v>
      </c>
      <c r="F204" s="200">
        <f>Dat_02!D203</f>
        <v>104.34579689704225</v>
      </c>
      <c r="G204" s="200">
        <f>Dat_02!E203</f>
        <v>92.589848698818443</v>
      </c>
      <c r="I204" s="201">
        <f>Dat_02!G203</f>
        <v>0</v>
      </c>
      <c r="J204" s="207" t="str">
        <f>IF(Dat_02!H203=0,"",Dat_02!H203)</f>
        <v/>
      </c>
    </row>
    <row r="205" spans="2:10">
      <c r="B205" s="198"/>
      <c r="C205" s="199">
        <f>Dat_02!B204</f>
        <v>45645</v>
      </c>
      <c r="D205" s="198"/>
      <c r="E205" s="200">
        <f>Dat_02!C204</f>
        <v>75.700622666816571</v>
      </c>
      <c r="F205" s="200">
        <f>Dat_02!D204</f>
        <v>104.34579689704225</v>
      </c>
      <c r="G205" s="200">
        <f>Dat_02!E204</f>
        <v>75.700622666816571</v>
      </c>
      <c r="I205" s="201">
        <f>Dat_02!G204</f>
        <v>0</v>
      </c>
      <c r="J205" s="207" t="str">
        <f>IF(Dat_02!H204=0,"",Dat_02!H204)</f>
        <v/>
      </c>
    </row>
    <row r="206" spans="2:10">
      <c r="B206" s="198"/>
      <c r="C206" s="199">
        <f>Dat_02!B205</f>
        <v>45646</v>
      </c>
      <c r="D206" s="198"/>
      <c r="E206" s="200">
        <f>Dat_02!C205</f>
        <v>92.443503002818446</v>
      </c>
      <c r="F206" s="200">
        <f>Dat_02!D205</f>
        <v>104.34579689704225</v>
      </c>
      <c r="G206" s="200">
        <f>Dat_02!E205</f>
        <v>92.443503002818446</v>
      </c>
      <c r="I206" s="201">
        <f>Dat_02!G205</f>
        <v>0</v>
      </c>
      <c r="J206" s="207" t="str">
        <f>IF(Dat_02!H205=0,"",Dat_02!H205)</f>
        <v/>
      </c>
    </row>
    <row r="207" spans="2:10">
      <c r="B207" s="198"/>
      <c r="C207" s="199">
        <f>Dat_02!B206</f>
        <v>45647</v>
      </c>
      <c r="D207" s="198"/>
      <c r="E207" s="200">
        <f>Dat_02!C206</f>
        <v>78.194941970816586</v>
      </c>
      <c r="F207" s="200">
        <f>Dat_02!D206</f>
        <v>104.34579689704225</v>
      </c>
      <c r="G207" s="200">
        <f>Dat_02!E206</f>
        <v>78.194941970816586</v>
      </c>
      <c r="I207" s="201">
        <f>Dat_02!G206</f>
        <v>0</v>
      </c>
      <c r="J207" s="207" t="str">
        <f>IF(Dat_02!H206=0,"",Dat_02!H206)</f>
        <v/>
      </c>
    </row>
    <row r="208" spans="2:10">
      <c r="B208" s="198"/>
      <c r="C208" s="199">
        <f>Dat_02!B207</f>
        <v>45648</v>
      </c>
      <c r="D208" s="198"/>
      <c r="E208" s="200">
        <f>Dat_02!C207</f>
        <v>61.788172530818443</v>
      </c>
      <c r="F208" s="200">
        <f>Dat_02!D207</f>
        <v>104.34579689704225</v>
      </c>
      <c r="G208" s="200">
        <f>Dat_02!E207</f>
        <v>61.788172530818443</v>
      </c>
      <c r="I208" s="201">
        <f>Dat_02!G207</f>
        <v>0</v>
      </c>
      <c r="J208" s="207" t="str">
        <f>IF(Dat_02!H207=0,"",Dat_02!H207)</f>
        <v/>
      </c>
    </row>
    <row r="209" spans="2:10">
      <c r="B209" s="198"/>
      <c r="C209" s="199">
        <f>Dat_02!B208</f>
        <v>45649</v>
      </c>
      <c r="D209" s="198"/>
      <c r="E209" s="200">
        <f>Dat_02!C208</f>
        <v>57.373573711818437</v>
      </c>
      <c r="F209" s="200">
        <f>Dat_02!D208</f>
        <v>104.34579689704225</v>
      </c>
      <c r="G209" s="200">
        <f>Dat_02!E208</f>
        <v>57.373573711818437</v>
      </c>
      <c r="I209" s="201">
        <f>Dat_02!G208</f>
        <v>0</v>
      </c>
      <c r="J209" s="207" t="str">
        <f>IF(Dat_02!H208=0,"",Dat_02!H208)</f>
        <v/>
      </c>
    </row>
    <row r="210" spans="2:10">
      <c r="B210" s="198"/>
      <c r="C210" s="199">
        <f>Dat_02!B209</f>
        <v>45650</v>
      </c>
      <c r="D210" s="198"/>
      <c r="E210" s="200">
        <f>Dat_02!C209</f>
        <v>52.435381449816582</v>
      </c>
      <c r="F210" s="200">
        <f>Dat_02!D209</f>
        <v>104.34579689704225</v>
      </c>
      <c r="G210" s="200">
        <f>Dat_02!E209</f>
        <v>52.435381449816582</v>
      </c>
      <c r="I210" s="201">
        <f>Dat_02!G209</f>
        <v>0</v>
      </c>
      <c r="J210" s="207" t="str">
        <f>IF(Dat_02!H209=0,"",Dat_02!H209)</f>
        <v/>
      </c>
    </row>
    <row r="211" spans="2:10">
      <c r="B211" s="198"/>
      <c r="C211" s="199">
        <f>Dat_02!B210</f>
        <v>45651</v>
      </c>
      <c r="D211" s="198"/>
      <c r="E211" s="200">
        <f>Dat_02!C210</f>
        <v>61.070524667621214</v>
      </c>
      <c r="F211" s="200">
        <f>Dat_02!D210</f>
        <v>104.34579689704225</v>
      </c>
      <c r="G211" s="200">
        <f>Dat_02!E210</f>
        <v>61.070524667621214</v>
      </c>
      <c r="I211" s="201">
        <f>Dat_02!G210</f>
        <v>0</v>
      </c>
      <c r="J211" s="207" t="str">
        <f>IF(Dat_02!H210=0,"",Dat_02!H210)</f>
        <v/>
      </c>
    </row>
    <row r="212" spans="2:10">
      <c r="B212" s="198"/>
      <c r="C212" s="199">
        <f>Dat_02!B211</f>
        <v>45652</v>
      </c>
      <c r="D212" s="198"/>
      <c r="E212" s="200">
        <f>Dat_02!C211</f>
        <v>89.444197123621208</v>
      </c>
      <c r="F212" s="200">
        <f>Dat_02!D211</f>
        <v>104.34579689704225</v>
      </c>
      <c r="G212" s="200">
        <f>Dat_02!E211</f>
        <v>89.444197123621208</v>
      </c>
      <c r="I212" s="201">
        <f>Dat_02!G211</f>
        <v>0</v>
      </c>
      <c r="J212" s="207" t="str">
        <f>IF(Dat_02!H211=0,"",Dat_02!H211)</f>
        <v/>
      </c>
    </row>
    <row r="213" spans="2:10">
      <c r="B213" s="198"/>
      <c r="C213" s="199">
        <f>Dat_02!B212</f>
        <v>45653</v>
      </c>
      <c r="D213" s="198"/>
      <c r="E213" s="200">
        <f>Dat_02!C212</f>
        <v>90.757717751621215</v>
      </c>
      <c r="F213" s="200">
        <f>Dat_02!D212</f>
        <v>104.34579689704225</v>
      </c>
      <c r="G213" s="200">
        <f>Dat_02!E212</f>
        <v>90.757717751621215</v>
      </c>
      <c r="I213" s="201">
        <f>Dat_02!G212</f>
        <v>0</v>
      </c>
      <c r="J213" s="207" t="str">
        <f>IF(Dat_02!H212=0,"",Dat_02!H212)</f>
        <v/>
      </c>
    </row>
    <row r="214" spans="2:10">
      <c r="B214" s="198"/>
      <c r="C214" s="199">
        <f>Dat_02!B213</f>
        <v>45654</v>
      </c>
      <c r="D214" s="198"/>
      <c r="E214" s="200">
        <f>Dat_02!C213</f>
        <v>93.634406132621208</v>
      </c>
      <c r="F214" s="200">
        <f>Dat_02!D213</f>
        <v>104.34579689704225</v>
      </c>
      <c r="G214" s="200">
        <f>Dat_02!E213</f>
        <v>93.634406132621208</v>
      </c>
      <c r="I214" s="201">
        <f>Dat_02!G213</f>
        <v>0</v>
      </c>
      <c r="J214" s="207" t="str">
        <f>IF(Dat_02!H213=0,"",Dat_02!H213)</f>
        <v/>
      </c>
    </row>
    <row r="215" spans="2:10">
      <c r="B215" s="198"/>
      <c r="C215" s="199">
        <f>Dat_02!B214</f>
        <v>45655</v>
      </c>
      <c r="D215" s="198"/>
      <c r="E215" s="200">
        <f>Dat_02!C214</f>
        <v>85.876438035621206</v>
      </c>
      <c r="F215" s="200">
        <f>Dat_02!D214</f>
        <v>104.34579689704225</v>
      </c>
      <c r="G215" s="200">
        <f>Dat_02!E214</f>
        <v>85.876438035621206</v>
      </c>
      <c r="I215" s="201">
        <f>Dat_02!G214</f>
        <v>0</v>
      </c>
      <c r="J215" s="207" t="str">
        <f>IF(Dat_02!H214=0,"",Dat_02!H214)</f>
        <v/>
      </c>
    </row>
    <row r="216" spans="2:10">
      <c r="B216" s="198"/>
      <c r="C216" s="199">
        <f>Dat_02!B215</f>
        <v>45656</v>
      </c>
      <c r="D216" s="198"/>
      <c r="E216" s="200">
        <f>Dat_02!C215</f>
        <v>98.537026639621203</v>
      </c>
      <c r="F216" s="200">
        <f>Dat_02!D215</f>
        <v>104.34579689704225</v>
      </c>
      <c r="G216" s="200">
        <f>Dat_02!E215</f>
        <v>98.537026639621203</v>
      </c>
      <c r="I216" s="201">
        <f>Dat_02!G215</f>
        <v>0</v>
      </c>
      <c r="J216" s="207" t="str">
        <f>IF(Dat_02!H215=0,"",Dat_02!H215)</f>
        <v/>
      </c>
    </row>
    <row r="217" spans="2:10">
      <c r="B217" s="198"/>
      <c r="C217" s="199">
        <f>Dat_02!B216</f>
        <v>45657</v>
      </c>
      <c r="D217" s="198"/>
      <c r="E217" s="200">
        <f>Dat_02!C216</f>
        <v>93.20605021562308</v>
      </c>
      <c r="F217" s="200">
        <f>Dat_02!D216</f>
        <v>104.34579689704225</v>
      </c>
      <c r="G217" s="200">
        <f>Dat_02!E216</f>
        <v>93.20605021562308</v>
      </c>
      <c r="I217" s="201">
        <f>Dat_02!G216</f>
        <v>0</v>
      </c>
      <c r="J217" s="207" t="str">
        <f>IF(Dat_02!H216=0,"",Dat_02!H216)</f>
        <v/>
      </c>
    </row>
    <row r="218" spans="2:10">
      <c r="B218" s="198" t="s">
        <v>174</v>
      </c>
      <c r="C218" s="199">
        <f>Dat_02!B217</f>
        <v>45658</v>
      </c>
      <c r="D218" s="198"/>
      <c r="E218" s="200">
        <f>Dat_02!C217</f>
        <v>53.986044277254123</v>
      </c>
      <c r="F218" s="200">
        <f>Dat_02!D217</f>
        <v>119.24912559323448</v>
      </c>
      <c r="G218" s="200">
        <f>Dat_02!E217</f>
        <v>53.986044277254123</v>
      </c>
      <c r="I218" s="201">
        <f>Dat_02!G217</f>
        <v>0</v>
      </c>
      <c r="J218" s="207">
        <f>IF(Dat_02!H217=0,"",Dat_02!H217)</f>
        <v>2025</v>
      </c>
    </row>
    <row r="219" spans="2:10">
      <c r="B219" s="198"/>
      <c r="C219" s="199">
        <f>Dat_02!B218</f>
        <v>45659</v>
      </c>
      <c r="D219" s="198"/>
      <c r="E219" s="200">
        <f>Dat_02!C218</f>
        <v>69.503196627254113</v>
      </c>
      <c r="F219" s="200">
        <f>Dat_02!D218</f>
        <v>119.24912559323448</v>
      </c>
      <c r="G219" s="200">
        <f>Dat_02!E218</f>
        <v>69.503196627254113</v>
      </c>
      <c r="I219" s="201">
        <f>Dat_02!G218</f>
        <v>0</v>
      </c>
      <c r="J219" s="207" t="str">
        <f>IF(Dat_02!H218=0,"",Dat_02!H218)</f>
        <v/>
      </c>
    </row>
    <row r="220" spans="2:10">
      <c r="B220" s="198"/>
      <c r="C220" s="199">
        <f>Dat_02!B219</f>
        <v>45660</v>
      </c>
      <c r="D220" s="198"/>
      <c r="E220" s="200">
        <f>Dat_02!C219</f>
        <v>66.45143115325412</v>
      </c>
      <c r="F220" s="200">
        <f>Dat_02!D219</f>
        <v>119.24912559323448</v>
      </c>
      <c r="G220" s="200">
        <f>Dat_02!E219</f>
        <v>66.45143115325412</v>
      </c>
      <c r="I220" s="201">
        <f>Dat_02!G219</f>
        <v>0</v>
      </c>
      <c r="J220" s="207" t="str">
        <f>IF(Dat_02!H219=0,"",Dat_02!H219)</f>
        <v/>
      </c>
    </row>
    <row r="221" spans="2:10">
      <c r="B221" s="198"/>
      <c r="C221" s="199">
        <f>Dat_02!B220</f>
        <v>45661</v>
      </c>
      <c r="D221" s="198"/>
      <c r="E221" s="200">
        <f>Dat_02!C220</f>
        <v>75.53262317825785</v>
      </c>
      <c r="F221" s="200">
        <f>Dat_02!D220</f>
        <v>119.24912559323448</v>
      </c>
      <c r="G221" s="200">
        <f>Dat_02!E220</f>
        <v>75.53262317825785</v>
      </c>
      <c r="I221" s="201">
        <f>Dat_02!G220</f>
        <v>0</v>
      </c>
      <c r="J221" s="207" t="str">
        <f>IF(Dat_02!H220=0,"",Dat_02!H220)</f>
        <v/>
      </c>
    </row>
    <row r="222" spans="2:10">
      <c r="B222" s="198"/>
      <c r="C222" s="199">
        <f>Dat_02!B221</f>
        <v>45662</v>
      </c>
      <c r="D222" s="198"/>
      <c r="E222" s="200">
        <f>Dat_02!C221</f>
        <v>41.699737590254124</v>
      </c>
      <c r="F222" s="200">
        <f>Dat_02!D221</f>
        <v>119.24912559323448</v>
      </c>
      <c r="G222" s="200">
        <f>Dat_02!E221</f>
        <v>41.699737590254124</v>
      </c>
      <c r="I222" s="201">
        <f>Dat_02!G221</f>
        <v>0</v>
      </c>
      <c r="J222" s="207" t="str">
        <f>IF(Dat_02!H221=0,"",Dat_02!H221)</f>
        <v/>
      </c>
    </row>
    <row r="223" spans="2:10">
      <c r="B223" s="198"/>
      <c r="C223" s="199">
        <f>Dat_02!B222</f>
        <v>45663</v>
      </c>
      <c r="D223" s="198"/>
      <c r="E223" s="200">
        <f>Dat_02!C222</f>
        <v>49.457396382254124</v>
      </c>
      <c r="F223" s="200">
        <f>Dat_02!D222</f>
        <v>119.24912559323448</v>
      </c>
      <c r="G223" s="200">
        <f>Dat_02!E222</f>
        <v>49.457396382254124</v>
      </c>
      <c r="I223" s="201">
        <f>Dat_02!G222</f>
        <v>0</v>
      </c>
      <c r="J223" s="207" t="str">
        <f>IF(Dat_02!H222=0,"",Dat_02!H222)</f>
        <v/>
      </c>
    </row>
    <row r="224" spans="2:10">
      <c r="B224" s="198"/>
      <c r="C224" s="199">
        <f>Dat_02!B223</f>
        <v>45664</v>
      </c>
      <c r="D224" s="198"/>
      <c r="E224" s="200">
        <f>Dat_02!C223</f>
        <v>67.336947990255979</v>
      </c>
      <c r="F224" s="200">
        <f>Dat_02!D223</f>
        <v>119.24912559323448</v>
      </c>
      <c r="G224" s="200">
        <f>Dat_02!E223</f>
        <v>67.336947990255979</v>
      </c>
      <c r="I224" s="201">
        <f>Dat_02!G223</f>
        <v>0</v>
      </c>
      <c r="J224" s="207" t="str">
        <f>IF(Dat_02!H223=0,"",Dat_02!H223)</f>
        <v/>
      </c>
    </row>
    <row r="225" spans="2:10">
      <c r="B225" s="198"/>
      <c r="C225" s="199">
        <f>Dat_02!B224</f>
        <v>45665</v>
      </c>
      <c r="D225" s="198"/>
      <c r="E225" s="200">
        <f>Dat_02!C224</f>
        <v>136.78668112135671</v>
      </c>
      <c r="F225" s="200">
        <f>Dat_02!D224</f>
        <v>119.24912559323448</v>
      </c>
      <c r="G225" s="200">
        <f>Dat_02!E224</f>
        <v>119.24912559323448</v>
      </c>
      <c r="I225" s="201">
        <f>Dat_02!G224</f>
        <v>0</v>
      </c>
      <c r="J225" s="207" t="str">
        <f>IF(Dat_02!H224=0,"",Dat_02!H224)</f>
        <v/>
      </c>
    </row>
    <row r="226" spans="2:10">
      <c r="B226" s="198"/>
      <c r="C226" s="199">
        <f>Dat_02!B225</f>
        <v>45666</v>
      </c>
      <c r="D226" s="198"/>
      <c r="E226" s="200">
        <f>Dat_02!C225</f>
        <v>137.42684952435485</v>
      </c>
      <c r="F226" s="200">
        <f>Dat_02!D225</f>
        <v>119.24912559323448</v>
      </c>
      <c r="G226" s="200">
        <f>Dat_02!E225</f>
        <v>119.24912559323448</v>
      </c>
      <c r="I226" s="201">
        <f>Dat_02!G225</f>
        <v>0</v>
      </c>
      <c r="J226" s="207" t="str">
        <f>IF(Dat_02!H225=0,"",Dat_02!H225)</f>
        <v/>
      </c>
    </row>
    <row r="227" spans="2:10">
      <c r="B227" s="198"/>
      <c r="C227" s="199">
        <f>Dat_02!B226</f>
        <v>45667</v>
      </c>
      <c r="D227" s="198"/>
      <c r="E227" s="200">
        <f>Dat_02!C226</f>
        <v>161.00422858735669</v>
      </c>
      <c r="F227" s="200">
        <f>Dat_02!D226</f>
        <v>119.24912559323448</v>
      </c>
      <c r="G227" s="200">
        <f>Dat_02!E226</f>
        <v>119.24912559323448</v>
      </c>
      <c r="I227" s="201">
        <f>Dat_02!G226</f>
        <v>0</v>
      </c>
      <c r="J227" s="207" t="str">
        <f>IF(Dat_02!H226=0,"",Dat_02!H226)</f>
        <v/>
      </c>
    </row>
    <row r="228" spans="2:10">
      <c r="B228" s="198"/>
      <c r="C228" s="199">
        <f>Dat_02!B227</f>
        <v>45668</v>
      </c>
      <c r="D228" s="198"/>
      <c r="E228" s="200">
        <f>Dat_02!C227</f>
        <v>126.4835311443567</v>
      </c>
      <c r="F228" s="200">
        <f>Dat_02!D227</f>
        <v>119.24912559323448</v>
      </c>
      <c r="G228" s="200">
        <f>Dat_02!E227</f>
        <v>119.24912559323448</v>
      </c>
      <c r="I228" s="201">
        <f>Dat_02!G227</f>
        <v>0</v>
      </c>
      <c r="J228" s="207" t="str">
        <f>IF(Dat_02!H227=0,"",Dat_02!H227)</f>
        <v/>
      </c>
    </row>
    <row r="229" spans="2:10">
      <c r="B229" s="198"/>
      <c r="C229" s="199">
        <f>Dat_02!B228</f>
        <v>45669</v>
      </c>
      <c r="D229" s="198"/>
      <c r="E229" s="200">
        <f>Dat_02!C228</f>
        <v>111.62172161635669</v>
      </c>
      <c r="F229" s="200">
        <f>Dat_02!D228</f>
        <v>119.24912559323448</v>
      </c>
      <c r="G229" s="200">
        <f>Dat_02!E228</f>
        <v>111.62172161635669</v>
      </c>
      <c r="I229" s="201">
        <f>Dat_02!G228</f>
        <v>0</v>
      </c>
      <c r="J229" s="207" t="str">
        <f>IF(Dat_02!H228=0,"",Dat_02!H228)</f>
        <v/>
      </c>
    </row>
    <row r="230" spans="2:10">
      <c r="B230" s="198"/>
      <c r="C230" s="199">
        <f>Dat_02!B229</f>
        <v>45670</v>
      </c>
      <c r="D230" s="198"/>
      <c r="E230" s="200">
        <f>Dat_02!C229</f>
        <v>151.68971260435669</v>
      </c>
      <c r="F230" s="200">
        <f>Dat_02!D229</f>
        <v>119.24912559323448</v>
      </c>
      <c r="G230" s="200">
        <f>Dat_02!E229</f>
        <v>119.24912559323448</v>
      </c>
      <c r="I230" s="201">
        <f>Dat_02!G229</f>
        <v>0</v>
      </c>
      <c r="J230" s="207" t="str">
        <f>IF(Dat_02!H229=0,"",Dat_02!H229)</f>
        <v/>
      </c>
    </row>
    <row r="231" spans="2:10">
      <c r="B231" s="198"/>
      <c r="C231" s="199">
        <f>Dat_02!B230</f>
        <v>45671</v>
      </c>
      <c r="D231" s="198"/>
      <c r="E231" s="200">
        <f>Dat_02!C230</f>
        <v>167.14070640035669</v>
      </c>
      <c r="F231" s="200">
        <f>Dat_02!D230</f>
        <v>119.24912559323448</v>
      </c>
      <c r="G231" s="200">
        <f>Dat_02!E230</f>
        <v>119.24912559323448</v>
      </c>
      <c r="I231" s="201" t="str">
        <f>Dat_02!G230</f>
        <v/>
      </c>
      <c r="J231" s="207" t="str">
        <f>IF(Dat_02!H230=0,"",Dat_02!H230)</f>
        <v/>
      </c>
    </row>
    <row r="232" spans="2:10">
      <c r="B232" s="198"/>
      <c r="C232" s="199">
        <f>Dat_02!B231</f>
        <v>45672</v>
      </c>
      <c r="D232" s="198"/>
      <c r="E232" s="200">
        <f>Dat_02!C231</f>
        <v>102.51417813263284</v>
      </c>
      <c r="F232" s="200">
        <f>Dat_02!D231</f>
        <v>119.24912559323448</v>
      </c>
      <c r="G232" s="200">
        <f>Dat_02!E231</f>
        <v>102.51417813263284</v>
      </c>
      <c r="I232" s="201">
        <f>Dat_02!G231</f>
        <v>0</v>
      </c>
      <c r="J232" s="207" t="str">
        <f>IF(Dat_02!H231=0,"",Dat_02!H231)</f>
        <v/>
      </c>
    </row>
    <row r="233" spans="2:10">
      <c r="B233" s="198"/>
      <c r="C233" s="199">
        <f>Dat_02!B232</f>
        <v>45673</v>
      </c>
      <c r="D233" s="198"/>
      <c r="E233" s="200">
        <f>Dat_02!C232</f>
        <v>105.57352440863284</v>
      </c>
      <c r="F233" s="200">
        <f>Dat_02!D232</f>
        <v>119.24912559323448</v>
      </c>
      <c r="G233" s="200">
        <f>Dat_02!E232</f>
        <v>105.57352440863284</v>
      </c>
      <c r="I233" s="201">
        <f>Dat_02!G232</f>
        <v>0</v>
      </c>
      <c r="J233" s="207" t="str">
        <f>IF(Dat_02!H232=0,"",Dat_02!H232)</f>
        <v/>
      </c>
    </row>
    <row r="234" spans="2:10">
      <c r="B234" s="198"/>
      <c r="C234" s="199">
        <f>Dat_02!B233</f>
        <v>45674</v>
      </c>
      <c r="D234" s="198"/>
      <c r="E234" s="200">
        <f>Dat_02!C233</f>
        <v>110.19689328463282</v>
      </c>
      <c r="F234" s="200">
        <f>Dat_02!D233</f>
        <v>119.24912559323448</v>
      </c>
      <c r="G234" s="200">
        <f>Dat_02!E233</f>
        <v>110.19689328463282</v>
      </c>
      <c r="I234" s="201">
        <f>Dat_02!G233</f>
        <v>0</v>
      </c>
      <c r="J234" s="207" t="str">
        <f>IF(Dat_02!H233=0,"",Dat_02!H233)</f>
        <v/>
      </c>
    </row>
    <row r="235" spans="2:10">
      <c r="B235" s="198"/>
      <c r="C235" s="199">
        <f>Dat_02!B234</f>
        <v>45675</v>
      </c>
      <c r="D235" s="198"/>
      <c r="E235" s="200">
        <f>Dat_02!C234</f>
        <v>105.46647364463281</v>
      </c>
      <c r="F235" s="200">
        <f>Dat_02!D234</f>
        <v>119.24912559323448</v>
      </c>
      <c r="G235" s="200">
        <f>Dat_02!E234</f>
        <v>105.46647364463281</v>
      </c>
      <c r="I235" s="201">
        <f>Dat_02!G234</f>
        <v>0</v>
      </c>
      <c r="J235" s="207" t="str">
        <f>IF(Dat_02!H234=0,"",Dat_02!H234)</f>
        <v/>
      </c>
    </row>
    <row r="236" spans="2:10">
      <c r="B236" s="198"/>
      <c r="C236" s="199">
        <f>Dat_02!B235</f>
        <v>45676</v>
      </c>
      <c r="D236" s="198"/>
      <c r="E236" s="200">
        <f>Dat_02!C235</f>
        <v>91.843949272630965</v>
      </c>
      <c r="F236" s="200">
        <f>Dat_02!D235</f>
        <v>119.24912559323448</v>
      </c>
      <c r="G236" s="200">
        <f>Dat_02!E235</f>
        <v>91.843949272630965</v>
      </c>
      <c r="I236" s="201">
        <f>Dat_02!G235</f>
        <v>0</v>
      </c>
      <c r="J236" s="207" t="str">
        <f>IF(Dat_02!H235=0,"",Dat_02!H235)</f>
        <v/>
      </c>
    </row>
    <row r="237" spans="2:10">
      <c r="B237" s="198"/>
      <c r="C237" s="199">
        <f>Dat_02!B236</f>
        <v>45677</v>
      </c>
      <c r="D237" s="198"/>
      <c r="E237" s="200">
        <f>Dat_02!C236</f>
        <v>106.80647157663282</v>
      </c>
      <c r="F237" s="200">
        <f>Dat_02!D236</f>
        <v>119.24912559323448</v>
      </c>
      <c r="G237" s="200">
        <f>Dat_02!E236</f>
        <v>106.80647157663282</v>
      </c>
      <c r="I237" s="201">
        <f>Dat_02!G236</f>
        <v>0</v>
      </c>
      <c r="J237" s="207" t="str">
        <f>IF(Dat_02!H236=0,"",Dat_02!H236)</f>
        <v/>
      </c>
    </row>
    <row r="238" spans="2:10">
      <c r="B238" s="198"/>
      <c r="C238" s="199">
        <f>Dat_02!B237</f>
        <v>45678</v>
      </c>
      <c r="D238" s="198"/>
      <c r="E238" s="200">
        <f>Dat_02!C237</f>
        <v>91.954721448634686</v>
      </c>
      <c r="F238" s="200">
        <f>Dat_02!D237</f>
        <v>119.24912559323448</v>
      </c>
      <c r="G238" s="200">
        <f>Dat_02!E237</f>
        <v>91.954721448634686</v>
      </c>
      <c r="I238" s="201">
        <f>Dat_02!G237</f>
        <v>0</v>
      </c>
      <c r="J238" s="207" t="str">
        <f>IF(Dat_02!H237=0,"",Dat_02!H237)</f>
        <v/>
      </c>
    </row>
    <row r="239" spans="2:10">
      <c r="B239" s="198"/>
      <c r="C239" s="199">
        <f>Dat_02!B238</f>
        <v>45679</v>
      </c>
      <c r="D239" s="198"/>
      <c r="E239" s="200">
        <f>Dat_02!C238</f>
        <v>168.3210030544453</v>
      </c>
      <c r="F239" s="200">
        <f>Dat_02!D238</f>
        <v>119.24912559323448</v>
      </c>
      <c r="G239" s="200">
        <f>Dat_02!E238</f>
        <v>119.24912559323448</v>
      </c>
      <c r="I239" s="201">
        <f>Dat_02!G238</f>
        <v>0</v>
      </c>
      <c r="J239" s="207" t="str">
        <f>IF(Dat_02!H238=0,"",Dat_02!H238)</f>
        <v/>
      </c>
    </row>
    <row r="240" spans="2:10">
      <c r="B240" s="198"/>
      <c r="C240" s="199">
        <f>Dat_02!B239</f>
        <v>45680</v>
      </c>
      <c r="D240" s="198"/>
      <c r="E240" s="200">
        <f>Dat_02!C239</f>
        <v>178.69275573044339</v>
      </c>
      <c r="F240" s="200">
        <f>Dat_02!D239</f>
        <v>119.24912559323448</v>
      </c>
      <c r="G240" s="200">
        <f>Dat_02!E239</f>
        <v>119.24912559323448</v>
      </c>
      <c r="I240" s="201">
        <f>Dat_02!G239</f>
        <v>0</v>
      </c>
      <c r="J240" s="207" t="str">
        <f>IF(Dat_02!H239=0,"",Dat_02!H239)</f>
        <v/>
      </c>
    </row>
    <row r="241" spans="2:10">
      <c r="B241" s="198"/>
      <c r="C241" s="199">
        <f>Dat_02!B240</f>
        <v>45681</v>
      </c>
      <c r="D241" s="198"/>
      <c r="E241" s="200">
        <f>Dat_02!C240</f>
        <v>160.10215898644714</v>
      </c>
      <c r="F241" s="200">
        <f>Dat_02!D240</f>
        <v>119.24912559323448</v>
      </c>
      <c r="G241" s="200">
        <f>Dat_02!E240</f>
        <v>119.24912559323448</v>
      </c>
      <c r="I241" s="201">
        <f>Dat_02!G240</f>
        <v>0</v>
      </c>
      <c r="J241" s="207" t="str">
        <f>IF(Dat_02!H240=0,"",Dat_02!H240)</f>
        <v/>
      </c>
    </row>
    <row r="242" spans="2:10">
      <c r="B242" s="198"/>
      <c r="C242" s="199">
        <f>Dat_02!B241</f>
        <v>45682</v>
      </c>
      <c r="D242" s="198"/>
      <c r="E242" s="200">
        <f>Dat_02!C241</f>
        <v>138.36786372644343</v>
      </c>
      <c r="F242" s="200">
        <f>Dat_02!D241</f>
        <v>119.24912559323448</v>
      </c>
      <c r="G242" s="200">
        <f>Dat_02!E241</f>
        <v>119.24912559323448</v>
      </c>
      <c r="I242" s="201">
        <f>Dat_02!G241</f>
        <v>0</v>
      </c>
      <c r="J242" s="207" t="str">
        <f>IF(Dat_02!H241=0,"",Dat_02!H241)</f>
        <v/>
      </c>
    </row>
    <row r="243" spans="2:10">
      <c r="B243" s="198"/>
      <c r="C243" s="199">
        <f>Dat_02!B242</f>
        <v>45683</v>
      </c>
      <c r="D243" s="198"/>
      <c r="E243" s="200">
        <f>Dat_02!C242</f>
        <v>126.88157139844529</v>
      </c>
      <c r="F243" s="200">
        <f>Dat_02!D242</f>
        <v>119.24912559323448</v>
      </c>
      <c r="G243" s="200">
        <f>Dat_02!E242</f>
        <v>119.24912559323448</v>
      </c>
      <c r="I243" s="201">
        <f>Dat_02!G242</f>
        <v>0</v>
      </c>
      <c r="J243" s="207" t="str">
        <f>IF(Dat_02!H242=0,"",Dat_02!H242)</f>
        <v/>
      </c>
    </row>
    <row r="244" spans="2:10">
      <c r="B244" s="198"/>
      <c r="C244" s="199">
        <f>Dat_02!B243</f>
        <v>45684</v>
      </c>
      <c r="D244" s="198"/>
      <c r="E244" s="200">
        <f>Dat_02!C243</f>
        <v>133.75775796244343</v>
      </c>
      <c r="F244" s="200">
        <f>Dat_02!D243</f>
        <v>119.24912559323448</v>
      </c>
      <c r="G244" s="200">
        <f>Dat_02!E243</f>
        <v>119.24912559323448</v>
      </c>
      <c r="I244" s="201">
        <f>Dat_02!G243</f>
        <v>0</v>
      </c>
      <c r="J244" s="207" t="str">
        <f>IF(Dat_02!H243=0,"",Dat_02!H243)</f>
        <v/>
      </c>
    </row>
    <row r="245" spans="2:10">
      <c r="B245" s="198"/>
      <c r="C245" s="199">
        <f>Dat_02!B244</f>
        <v>45685</v>
      </c>
      <c r="D245" s="198"/>
      <c r="E245" s="200">
        <f>Dat_02!C244</f>
        <v>163.20963387044341</v>
      </c>
      <c r="F245" s="200">
        <f>Dat_02!D244</f>
        <v>119.24912559323448</v>
      </c>
      <c r="G245" s="200">
        <f>Dat_02!E244</f>
        <v>119.24912559323448</v>
      </c>
      <c r="I245" s="201">
        <f>Dat_02!G244</f>
        <v>0</v>
      </c>
      <c r="J245" s="207" t="str">
        <f>IF(Dat_02!H244=0,"",Dat_02!H244)</f>
        <v/>
      </c>
    </row>
    <row r="246" spans="2:10">
      <c r="B246" s="198"/>
      <c r="C246" s="199">
        <f>Dat_02!B245</f>
        <v>45686</v>
      </c>
      <c r="D246" s="198"/>
      <c r="E246" s="200">
        <f>Dat_02!C245</f>
        <v>294.59153930035598</v>
      </c>
      <c r="F246" s="200">
        <f>Dat_02!D245</f>
        <v>119.24912559323448</v>
      </c>
      <c r="G246" s="200">
        <f>Dat_02!E245</f>
        <v>119.24912559323448</v>
      </c>
      <c r="I246" s="201">
        <f>Dat_02!G245</f>
        <v>0</v>
      </c>
      <c r="J246" s="207" t="str">
        <f>IF(Dat_02!H245=0,"",Dat_02!H245)</f>
        <v/>
      </c>
    </row>
    <row r="247" spans="2:10">
      <c r="B247" s="198"/>
      <c r="C247" s="199">
        <f>Dat_02!B246</f>
        <v>45687</v>
      </c>
      <c r="D247" s="198"/>
      <c r="E247" s="200">
        <f>Dat_02!C246</f>
        <v>284.58255372035046</v>
      </c>
      <c r="F247" s="200">
        <f>Dat_02!D246</f>
        <v>119.24912559323448</v>
      </c>
      <c r="G247" s="200">
        <f>Dat_02!E246</f>
        <v>119.24912559323448</v>
      </c>
      <c r="I247" s="201">
        <f>Dat_02!G246</f>
        <v>0</v>
      </c>
      <c r="J247" s="207" t="str">
        <f>IF(Dat_02!H246=0,"",Dat_02!H246)</f>
        <v/>
      </c>
    </row>
    <row r="248" spans="2:10">
      <c r="B248" s="198"/>
      <c r="C248" s="199">
        <f>Dat_02!B247</f>
        <v>45688</v>
      </c>
      <c r="D248" s="198"/>
      <c r="E248" s="200">
        <f>Dat_02!C247</f>
        <v>315.55065295635046</v>
      </c>
      <c r="F248" s="200">
        <f>Dat_02!D247</f>
        <v>119.24912559323448</v>
      </c>
      <c r="G248" s="200">
        <f>Dat_02!E247</f>
        <v>119.24912559323448</v>
      </c>
      <c r="I248" s="201">
        <f>Dat_02!G247</f>
        <v>0</v>
      </c>
      <c r="J248" s="207" t="str">
        <f>IF(Dat_02!H247=0,"",Dat_02!H247)</f>
        <v/>
      </c>
    </row>
    <row r="249" spans="2:10">
      <c r="B249" s="198" t="s">
        <v>167</v>
      </c>
      <c r="C249" s="199">
        <f>Dat_02!B248</f>
        <v>45689</v>
      </c>
      <c r="D249" s="198"/>
      <c r="E249" s="200">
        <f>Dat_02!C248</f>
        <v>307.18967444835602</v>
      </c>
      <c r="F249" s="200">
        <f>Dat_02!D248</f>
        <v>124.45770390135006</v>
      </c>
      <c r="G249" s="200">
        <f>Dat_02!E248</f>
        <v>124.45770390135006</v>
      </c>
      <c r="I249" s="201">
        <f>Dat_02!G248</f>
        <v>0</v>
      </c>
      <c r="J249" s="207" t="str">
        <f>IF(Dat_02!H248=0,"",Dat_02!H248)</f>
        <v/>
      </c>
    </row>
    <row r="250" spans="2:10">
      <c r="B250" s="198"/>
      <c r="C250" s="199">
        <f>Dat_02!B249</f>
        <v>45690</v>
      </c>
      <c r="D250" s="198"/>
      <c r="E250" s="200">
        <f>Dat_02!C249</f>
        <v>332.03252094435226</v>
      </c>
      <c r="F250" s="200">
        <f>Dat_02!D249</f>
        <v>124.45770390135006</v>
      </c>
      <c r="G250" s="200">
        <f>Dat_02!E249</f>
        <v>124.45770390135006</v>
      </c>
      <c r="I250" s="201">
        <f>Dat_02!G249</f>
        <v>0</v>
      </c>
      <c r="J250" s="207" t="str">
        <f>IF(Dat_02!H249=0,"",Dat_02!H249)</f>
        <v/>
      </c>
    </row>
    <row r="251" spans="2:10">
      <c r="B251" s="198"/>
      <c r="C251" s="199">
        <f>Dat_02!B250</f>
        <v>45691</v>
      </c>
      <c r="D251" s="198"/>
      <c r="E251" s="200">
        <f>Dat_02!C250</f>
        <v>338.51311530435231</v>
      </c>
      <c r="F251" s="200">
        <f>Dat_02!D250</f>
        <v>124.45770390135006</v>
      </c>
      <c r="G251" s="200">
        <f>Dat_02!E250</f>
        <v>124.45770390135006</v>
      </c>
      <c r="I251" s="201">
        <f>Dat_02!G250</f>
        <v>0</v>
      </c>
      <c r="J251" s="207" t="str">
        <f>IF(Dat_02!H250=0,"",Dat_02!H250)</f>
        <v/>
      </c>
    </row>
    <row r="252" spans="2:10">
      <c r="B252" s="198"/>
      <c r="C252" s="199">
        <f>Dat_02!B251</f>
        <v>45692</v>
      </c>
      <c r="D252" s="198"/>
      <c r="E252" s="200">
        <f>Dat_02!C251</f>
        <v>349.92630046835041</v>
      </c>
      <c r="F252" s="200">
        <f>Dat_02!D251</f>
        <v>124.45770390135006</v>
      </c>
      <c r="G252" s="200">
        <f>Dat_02!E251</f>
        <v>124.45770390135006</v>
      </c>
      <c r="I252" s="201">
        <f>Dat_02!G251</f>
        <v>0</v>
      </c>
      <c r="J252" s="207" t="str">
        <f>IF(Dat_02!H251=0,"",Dat_02!H251)</f>
        <v/>
      </c>
    </row>
    <row r="253" spans="2:10">
      <c r="B253" s="198"/>
      <c r="C253" s="199">
        <f>Dat_02!B252</f>
        <v>45693</v>
      </c>
      <c r="D253" s="198"/>
      <c r="E253" s="200">
        <f>Dat_02!C252</f>
        <v>158.57640116120609</v>
      </c>
      <c r="F253" s="200">
        <f>Dat_02!D252</f>
        <v>124.45770390135006</v>
      </c>
      <c r="G253" s="200">
        <f>Dat_02!E252</f>
        <v>124.45770390135006</v>
      </c>
      <c r="I253" s="201">
        <f>Dat_02!G252</f>
        <v>0</v>
      </c>
      <c r="J253" s="207" t="str">
        <f>IF(Dat_02!H252=0,"",Dat_02!H252)</f>
        <v/>
      </c>
    </row>
    <row r="254" spans="2:10">
      <c r="B254" s="198"/>
      <c r="C254" s="199">
        <f>Dat_02!B253</f>
        <v>45694</v>
      </c>
      <c r="D254" s="198"/>
      <c r="E254" s="200">
        <f>Dat_02!C253</f>
        <v>163.97919883720795</v>
      </c>
      <c r="F254" s="200">
        <f>Dat_02!D253</f>
        <v>124.45770390135006</v>
      </c>
      <c r="G254" s="200">
        <f>Dat_02!E253</f>
        <v>124.45770390135006</v>
      </c>
      <c r="I254" s="201">
        <f>Dat_02!G253</f>
        <v>0</v>
      </c>
      <c r="J254" s="207" t="str">
        <f>IF(Dat_02!H253=0,"",Dat_02!H253)</f>
        <v/>
      </c>
    </row>
    <row r="255" spans="2:10">
      <c r="B255" s="198"/>
      <c r="C255" s="199">
        <f>Dat_02!B254</f>
        <v>45695</v>
      </c>
      <c r="D255" s="198"/>
      <c r="E255" s="200">
        <f>Dat_02!C254</f>
        <v>156.4095246172061</v>
      </c>
      <c r="F255" s="200">
        <f>Dat_02!D254</f>
        <v>124.45770390135006</v>
      </c>
      <c r="G255" s="200">
        <f>Dat_02!E254</f>
        <v>124.45770390135006</v>
      </c>
      <c r="I255" s="201">
        <f>Dat_02!G254</f>
        <v>0</v>
      </c>
      <c r="J255" s="207" t="str">
        <f>IF(Dat_02!H254=0,"",Dat_02!H254)</f>
        <v/>
      </c>
    </row>
    <row r="256" spans="2:10">
      <c r="B256" s="198"/>
      <c r="C256" s="199">
        <f>Dat_02!B255</f>
        <v>45696</v>
      </c>
      <c r="D256" s="198"/>
      <c r="E256" s="200">
        <f>Dat_02!C255</f>
        <v>132.31267980120796</v>
      </c>
      <c r="F256" s="200">
        <f>Dat_02!D255</f>
        <v>124.45770390135006</v>
      </c>
      <c r="G256" s="200">
        <f>Dat_02!E255</f>
        <v>124.45770390135006</v>
      </c>
      <c r="I256" s="201">
        <f>Dat_02!G255</f>
        <v>0</v>
      </c>
      <c r="J256" s="207" t="str">
        <f>IF(Dat_02!H255=0,"",Dat_02!H255)</f>
        <v/>
      </c>
    </row>
    <row r="257" spans="2:10">
      <c r="B257" s="198"/>
      <c r="C257" s="199">
        <f>Dat_02!B256</f>
        <v>45697</v>
      </c>
      <c r="D257" s="198"/>
      <c r="E257" s="200">
        <f>Dat_02!C256</f>
        <v>141.74321268120983</v>
      </c>
      <c r="F257" s="200">
        <f>Dat_02!D256</f>
        <v>124.45770390135006</v>
      </c>
      <c r="G257" s="200">
        <f>Dat_02!E256</f>
        <v>124.45770390135006</v>
      </c>
      <c r="I257" s="201">
        <f>Dat_02!G256</f>
        <v>0</v>
      </c>
      <c r="J257" s="207" t="str">
        <f>IF(Dat_02!H256=0,"",Dat_02!H256)</f>
        <v/>
      </c>
    </row>
    <row r="258" spans="2:10">
      <c r="B258" s="198"/>
      <c r="C258" s="199">
        <f>Dat_02!B257</f>
        <v>45698</v>
      </c>
      <c r="D258" s="198"/>
      <c r="E258" s="200">
        <f>Dat_02!C257</f>
        <v>161.18742222520609</v>
      </c>
      <c r="F258" s="200">
        <f>Dat_02!D257</f>
        <v>124.45770390135006</v>
      </c>
      <c r="G258" s="200">
        <f>Dat_02!E257</f>
        <v>124.45770390135006</v>
      </c>
      <c r="I258" s="201">
        <f>Dat_02!G257</f>
        <v>0</v>
      </c>
      <c r="J258" s="207" t="str">
        <f>IF(Dat_02!H257=0,"",Dat_02!H257)</f>
        <v/>
      </c>
    </row>
    <row r="259" spans="2:10">
      <c r="B259" s="198"/>
      <c r="C259" s="199">
        <f>Dat_02!B258</f>
        <v>45699</v>
      </c>
      <c r="D259" s="198"/>
      <c r="E259" s="200">
        <f>Dat_02!C258</f>
        <v>157.21622700920611</v>
      </c>
      <c r="F259" s="200">
        <f>Dat_02!D258</f>
        <v>124.45770390135006</v>
      </c>
      <c r="G259" s="200">
        <f>Dat_02!E258</f>
        <v>124.45770390135006</v>
      </c>
      <c r="I259" s="201">
        <f>Dat_02!G258</f>
        <v>0</v>
      </c>
      <c r="J259" s="207" t="str">
        <f>IF(Dat_02!H258=0,"",Dat_02!H258)</f>
        <v/>
      </c>
    </row>
    <row r="260" spans="2:10">
      <c r="B260" s="198"/>
      <c r="C260" s="199">
        <f>Dat_02!B259</f>
        <v>45700</v>
      </c>
      <c r="D260" s="198"/>
      <c r="E260" s="200">
        <f>Dat_02!C259</f>
        <v>153.14956008996853</v>
      </c>
      <c r="F260" s="200">
        <f>Dat_02!D259</f>
        <v>124.45770390135006</v>
      </c>
      <c r="G260" s="200">
        <f>Dat_02!E259</f>
        <v>124.45770390135006</v>
      </c>
      <c r="I260" s="201">
        <f>Dat_02!G259</f>
        <v>0</v>
      </c>
      <c r="J260" s="207" t="str">
        <f>IF(Dat_02!H259=0,"",Dat_02!H259)</f>
        <v/>
      </c>
    </row>
    <row r="261" spans="2:10">
      <c r="B261" s="198"/>
      <c r="C261" s="199">
        <f>Dat_02!B260</f>
        <v>45701</v>
      </c>
      <c r="D261" s="198"/>
      <c r="E261" s="200">
        <f>Dat_02!C260</f>
        <v>153.16600436197038</v>
      </c>
      <c r="F261" s="200">
        <f>Dat_02!D260</f>
        <v>124.45770390135006</v>
      </c>
      <c r="G261" s="200">
        <f>Dat_02!E260</f>
        <v>124.45770390135006</v>
      </c>
      <c r="I261" s="201">
        <f>Dat_02!G260</f>
        <v>0</v>
      </c>
      <c r="J261" s="207" t="str">
        <f>IF(Dat_02!H260=0,"",Dat_02!H260)</f>
        <v/>
      </c>
    </row>
    <row r="262" spans="2:10">
      <c r="B262" s="198"/>
      <c r="C262" s="199">
        <f>Dat_02!B261</f>
        <v>45702</v>
      </c>
      <c r="D262" s="198"/>
      <c r="E262" s="200">
        <f>Dat_02!C261</f>
        <v>159.62962107396663</v>
      </c>
      <c r="F262" s="200">
        <f>Dat_02!D261</f>
        <v>124.45770390135006</v>
      </c>
      <c r="G262" s="200">
        <f>Dat_02!E261</f>
        <v>124.45770390135006</v>
      </c>
      <c r="I262" s="201" t="str">
        <f>Dat_02!G261</f>
        <v/>
      </c>
      <c r="J262" s="207" t="str">
        <f>IF(Dat_02!H261=0,"",Dat_02!H261)</f>
        <v/>
      </c>
    </row>
    <row r="263" spans="2:10">
      <c r="B263" s="198"/>
      <c r="C263" s="199">
        <f>Dat_02!B262</f>
        <v>45703</v>
      </c>
      <c r="D263" s="198"/>
      <c r="E263" s="200">
        <f>Dat_02!C262</f>
        <v>145.24807740197036</v>
      </c>
      <c r="F263" s="200">
        <f>Dat_02!D262</f>
        <v>124.45770390135006</v>
      </c>
      <c r="G263" s="200">
        <f>Dat_02!E262</f>
        <v>124.45770390135006</v>
      </c>
      <c r="I263" s="201">
        <f>Dat_02!G262</f>
        <v>0</v>
      </c>
      <c r="J263" s="207" t="str">
        <f>IF(Dat_02!H262=0,"",Dat_02!H262)</f>
        <v/>
      </c>
    </row>
    <row r="264" spans="2:10">
      <c r="B264" s="198"/>
      <c r="C264" s="199">
        <f>Dat_02!B263</f>
        <v>45704</v>
      </c>
      <c r="D264" s="198"/>
      <c r="E264" s="200">
        <f>Dat_02!C263</f>
        <v>139.31324646196666</v>
      </c>
      <c r="F264" s="200">
        <f>Dat_02!D263</f>
        <v>124.45770390135006</v>
      </c>
      <c r="G264" s="200">
        <f>Dat_02!E263</f>
        <v>124.45770390135006</v>
      </c>
      <c r="I264" s="201">
        <f>Dat_02!G263</f>
        <v>0</v>
      </c>
      <c r="J264" s="207" t="str">
        <f>IF(Dat_02!H263=0,"",Dat_02!H263)</f>
        <v/>
      </c>
    </row>
    <row r="265" spans="2:10">
      <c r="B265" s="198"/>
      <c r="C265" s="199">
        <f>Dat_02!B264</f>
        <v>45705</v>
      </c>
      <c r="D265" s="198"/>
      <c r="E265" s="200">
        <f>Dat_02!C264</f>
        <v>152.62523166597038</v>
      </c>
      <c r="F265" s="200">
        <f>Dat_02!D264</f>
        <v>124.45770390135006</v>
      </c>
      <c r="G265" s="200">
        <f>Dat_02!E264</f>
        <v>124.45770390135006</v>
      </c>
      <c r="I265" s="201">
        <f>Dat_02!G264</f>
        <v>0</v>
      </c>
      <c r="J265" s="207" t="str">
        <f>IF(Dat_02!H264=0,"",Dat_02!H264)</f>
        <v/>
      </c>
    </row>
    <row r="266" spans="2:10">
      <c r="B266" s="198"/>
      <c r="C266" s="199">
        <f>Dat_02!B265</f>
        <v>45706</v>
      </c>
      <c r="D266" s="198"/>
      <c r="E266" s="200">
        <f>Dat_02!C265</f>
        <v>136.07652472996853</v>
      </c>
      <c r="F266" s="200">
        <f>Dat_02!D265</f>
        <v>124.45770390135006</v>
      </c>
      <c r="G266" s="200">
        <f>Dat_02!E265</f>
        <v>124.45770390135006</v>
      </c>
      <c r="I266" s="201">
        <f>Dat_02!G265</f>
        <v>0</v>
      </c>
      <c r="J266" s="207" t="str">
        <f>IF(Dat_02!H265=0,"",Dat_02!H265)</f>
        <v/>
      </c>
    </row>
    <row r="267" spans="2:10">
      <c r="B267" s="198"/>
      <c r="C267" s="199">
        <f>Dat_02!B266</f>
        <v>45707</v>
      </c>
      <c r="D267" s="198"/>
      <c r="E267" s="200">
        <f>Dat_02!C266</f>
        <v>141.0527792297126</v>
      </c>
      <c r="F267" s="200">
        <f>Dat_02!D266</f>
        <v>124.45770390135006</v>
      </c>
      <c r="G267" s="200">
        <f>Dat_02!E266</f>
        <v>124.45770390135006</v>
      </c>
      <c r="I267" s="201">
        <f>Dat_02!G266</f>
        <v>0</v>
      </c>
      <c r="J267" s="207" t="str">
        <f>IF(Dat_02!H266=0,"",Dat_02!H266)</f>
        <v/>
      </c>
    </row>
    <row r="268" spans="2:10">
      <c r="B268" s="198"/>
      <c r="C268" s="199">
        <f>Dat_02!B267</f>
        <v>45708</v>
      </c>
      <c r="D268" s="198"/>
      <c r="E268" s="200">
        <f>Dat_02!C267</f>
        <v>121.78426129771444</v>
      </c>
      <c r="F268" s="200">
        <f>Dat_02!D267</f>
        <v>124.45770390135006</v>
      </c>
      <c r="G268" s="200">
        <f>Dat_02!E267</f>
        <v>121.78426129771444</v>
      </c>
      <c r="I268" s="201">
        <f>Dat_02!G267</f>
        <v>0</v>
      </c>
      <c r="J268" s="207" t="str">
        <f>IF(Dat_02!H267=0,"",Dat_02!H267)</f>
        <v/>
      </c>
    </row>
    <row r="269" spans="2:10">
      <c r="B269" s="198"/>
      <c r="C269" s="199">
        <f>Dat_02!B268</f>
        <v>45709</v>
      </c>
      <c r="D269" s="198"/>
      <c r="E269" s="200">
        <f>Dat_02!C268</f>
        <v>87.426524705710705</v>
      </c>
      <c r="F269" s="200">
        <f>Dat_02!D268</f>
        <v>124.45770390135006</v>
      </c>
      <c r="G269" s="200">
        <f>Dat_02!E268</f>
        <v>87.426524705710705</v>
      </c>
      <c r="I269" s="201">
        <f>Dat_02!G268</f>
        <v>0</v>
      </c>
      <c r="J269" s="207" t="str">
        <f>IF(Dat_02!H268=0,"",Dat_02!H268)</f>
        <v/>
      </c>
    </row>
    <row r="270" spans="2:10">
      <c r="B270" s="198"/>
      <c r="C270" s="199">
        <f>Dat_02!B269</f>
        <v>45710</v>
      </c>
      <c r="D270" s="198"/>
      <c r="E270" s="200">
        <f>Dat_02!C269</f>
        <v>114.18082720971816</v>
      </c>
      <c r="F270" s="200">
        <f>Dat_02!D269</f>
        <v>124.45770390135006</v>
      </c>
      <c r="G270" s="200">
        <f>Dat_02!E269</f>
        <v>114.18082720971816</v>
      </c>
      <c r="I270" s="201">
        <f>Dat_02!G269</f>
        <v>0</v>
      </c>
      <c r="J270" s="207" t="str">
        <f>IF(Dat_02!H269=0,"",Dat_02!H269)</f>
        <v/>
      </c>
    </row>
    <row r="271" spans="2:10">
      <c r="B271" s="198"/>
      <c r="C271" s="199">
        <f>Dat_02!B270</f>
        <v>45711</v>
      </c>
      <c r="D271" s="198"/>
      <c r="E271" s="200">
        <f>Dat_02!C270</f>
        <v>83.044860149710715</v>
      </c>
      <c r="F271" s="200">
        <f>Dat_02!D270</f>
        <v>124.45770390135006</v>
      </c>
      <c r="G271" s="200">
        <f>Dat_02!E270</f>
        <v>83.044860149710715</v>
      </c>
      <c r="I271" s="201">
        <f>Dat_02!G270</f>
        <v>0</v>
      </c>
      <c r="J271" s="207" t="str">
        <f>IF(Dat_02!H270=0,"",Dat_02!H270)</f>
        <v/>
      </c>
    </row>
    <row r="272" spans="2:10">
      <c r="B272" s="198"/>
      <c r="C272" s="199">
        <f>Dat_02!B271</f>
        <v>45712</v>
      </c>
      <c r="D272" s="198"/>
      <c r="E272" s="200">
        <f>Dat_02!C271</f>
        <v>99.154974373714424</v>
      </c>
      <c r="F272" s="200">
        <f>Dat_02!D271</f>
        <v>124.45770390135006</v>
      </c>
      <c r="G272" s="200">
        <f>Dat_02!E271</f>
        <v>99.154974373714424</v>
      </c>
      <c r="I272" s="201">
        <f>Dat_02!G271</f>
        <v>0</v>
      </c>
      <c r="J272" s="207" t="str">
        <f>IF(Dat_02!H271=0,"",Dat_02!H271)</f>
        <v/>
      </c>
    </row>
    <row r="273" spans="2:10">
      <c r="B273" s="198"/>
      <c r="C273" s="199">
        <f>Dat_02!B272</f>
        <v>45713</v>
      </c>
      <c r="D273" s="198"/>
      <c r="E273" s="200">
        <f>Dat_02!C272</f>
        <v>110.72487132571072</v>
      </c>
      <c r="F273" s="200">
        <f>Dat_02!D272</f>
        <v>124.45770390135006</v>
      </c>
      <c r="G273" s="200">
        <f>Dat_02!E272</f>
        <v>110.72487132571072</v>
      </c>
      <c r="I273" s="201">
        <f>Dat_02!G272</f>
        <v>0</v>
      </c>
      <c r="J273" s="207" t="str">
        <f>IF(Dat_02!H272=0,"",Dat_02!H272)</f>
        <v/>
      </c>
    </row>
    <row r="274" spans="2:10">
      <c r="B274" s="198"/>
      <c r="C274" s="199">
        <f>Dat_02!B273</f>
        <v>45714</v>
      </c>
      <c r="D274" s="198"/>
      <c r="E274" s="200">
        <f>Dat_02!C273</f>
        <v>124.40638517880809</v>
      </c>
      <c r="F274" s="200">
        <f>Dat_02!D273</f>
        <v>124.45770390135006</v>
      </c>
      <c r="G274" s="200">
        <f>Dat_02!E273</f>
        <v>124.40638517880809</v>
      </c>
      <c r="I274" s="201">
        <f>Dat_02!G273</f>
        <v>0</v>
      </c>
      <c r="J274" s="207" t="str">
        <f>IF(Dat_02!H273=0,"",Dat_02!H273)</f>
        <v/>
      </c>
    </row>
    <row r="275" spans="2:10">
      <c r="B275" s="198"/>
      <c r="C275" s="199">
        <f>Dat_02!B274</f>
        <v>45715</v>
      </c>
      <c r="D275" s="198"/>
      <c r="E275" s="200">
        <f>Dat_02!C274</f>
        <v>138.88854172280622</v>
      </c>
      <c r="F275" s="200">
        <f>Dat_02!D274</f>
        <v>124.45770390135006</v>
      </c>
      <c r="G275" s="200">
        <f>Dat_02!E274</f>
        <v>124.45770390135006</v>
      </c>
      <c r="I275" s="201">
        <f>Dat_02!G274</f>
        <v>0</v>
      </c>
      <c r="J275" s="207" t="str">
        <f>IF(Dat_02!H274=0,"",Dat_02!H274)</f>
        <v/>
      </c>
    </row>
    <row r="276" spans="2:10">
      <c r="B276" s="198"/>
      <c r="C276" s="199">
        <f>Dat_02!B275</f>
        <v>45716</v>
      </c>
      <c r="D276" s="198"/>
      <c r="E276" s="200">
        <f>Dat_02!C275</f>
        <v>131.33349814280808</v>
      </c>
      <c r="F276" s="200">
        <f>Dat_02!D275</f>
        <v>124.45770390135006</v>
      </c>
      <c r="G276" s="200">
        <f>Dat_02!E275</f>
        <v>124.45770390135006</v>
      </c>
      <c r="I276" s="201">
        <f>Dat_02!G275</f>
        <v>0</v>
      </c>
      <c r="J276" s="207" t="str">
        <f>IF(Dat_02!H275=0,"",Dat_02!H275)</f>
        <v/>
      </c>
    </row>
    <row r="277" spans="2:10">
      <c r="B277" s="198"/>
      <c r="C277" s="199">
        <f>Dat_02!B276</f>
        <v>45717</v>
      </c>
      <c r="D277" s="198"/>
      <c r="E277" s="200">
        <f>Dat_02!C276</f>
        <v>80.165669062808078</v>
      </c>
      <c r="F277" s="200">
        <f>Dat_02!D276</f>
        <v>129.67177197597073</v>
      </c>
      <c r="G277" s="200">
        <f>Dat_02!E276</f>
        <v>80.165669062808078</v>
      </c>
      <c r="I277" s="201">
        <f>Dat_02!G276</f>
        <v>0</v>
      </c>
      <c r="J277" s="207" t="str">
        <f>IF(Dat_02!H276=0,"",Dat_02!H276)</f>
        <v/>
      </c>
    </row>
    <row r="278" spans="2:10">
      <c r="B278" s="198"/>
      <c r="C278" s="199">
        <f>Dat_02!B277</f>
        <v>45718</v>
      </c>
      <c r="D278" s="198"/>
      <c r="E278" s="200">
        <f>Dat_02!C277</f>
        <v>73.145512046808079</v>
      </c>
      <c r="F278" s="200">
        <f>Dat_02!D277</f>
        <v>129.67177197597073</v>
      </c>
      <c r="G278" s="200">
        <f>Dat_02!E277</f>
        <v>73.145512046808079</v>
      </c>
      <c r="I278" s="201">
        <f>Dat_02!G277</f>
        <v>0</v>
      </c>
      <c r="J278" s="207" t="str">
        <f>IF(Dat_02!H277=0,"",Dat_02!H277)</f>
        <v/>
      </c>
    </row>
    <row r="279" spans="2:10">
      <c r="B279" s="198"/>
      <c r="C279" s="199">
        <f>Dat_02!B278</f>
        <v>45719</v>
      </c>
      <c r="D279" s="198"/>
      <c r="E279" s="200">
        <f>Dat_02!C278</f>
        <v>121.25406093080623</v>
      </c>
      <c r="F279" s="200">
        <f>Dat_02!D278</f>
        <v>129.67177197597073</v>
      </c>
      <c r="G279" s="200">
        <f>Dat_02!E278</f>
        <v>121.25406093080623</v>
      </c>
      <c r="I279" s="201">
        <f>Dat_02!G278</f>
        <v>0</v>
      </c>
      <c r="J279" s="207" t="str">
        <f>IF(Dat_02!H278=0,"",Dat_02!H278)</f>
        <v/>
      </c>
    </row>
    <row r="280" spans="2:10">
      <c r="B280" s="198" t="s">
        <v>177</v>
      </c>
      <c r="C280" s="199">
        <f>Dat_02!B279</f>
        <v>45720</v>
      </c>
      <c r="D280" s="198"/>
      <c r="E280" s="200">
        <f>Dat_02!C279</f>
        <v>119.62993390280809</v>
      </c>
      <c r="F280" s="200">
        <f>Dat_02!D279</f>
        <v>129.67177197597073</v>
      </c>
      <c r="G280" s="200">
        <f>Dat_02!E279</f>
        <v>119.62993390280809</v>
      </c>
      <c r="I280" s="201">
        <f>Dat_02!G279</f>
        <v>0</v>
      </c>
      <c r="J280" s="207" t="str">
        <f>IF(Dat_02!H279=0,"",Dat_02!H279)</f>
        <v/>
      </c>
    </row>
    <row r="281" spans="2:10">
      <c r="B281" s="198"/>
      <c r="C281" s="199">
        <f>Dat_02!B280</f>
        <v>45721</v>
      </c>
      <c r="D281" s="198"/>
      <c r="E281" s="200">
        <f>Dat_02!C280</f>
        <v>186.19599156423655</v>
      </c>
      <c r="F281" s="200">
        <f>Dat_02!D280</f>
        <v>129.67177197597073</v>
      </c>
      <c r="G281" s="200">
        <f>Dat_02!E280</f>
        <v>129.67177197597073</v>
      </c>
      <c r="I281" s="201">
        <f>Dat_02!G280</f>
        <v>0</v>
      </c>
      <c r="J281" s="207" t="str">
        <f>IF(Dat_02!H280=0,"",Dat_02!H280)</f>
        <v/>
      </c>
    </row>
    <row r="282" spans="2:10">
      <c r="B282" s="198"/>
      <c r="C282" s="199">
        <f>Dat_02!B281</f>
        <v>45722</v>
      </c>
      <c r="D282" s="198"/>
      <c r="E282" s="200">
        <f>Dat_02!C281</f>
        <v>177.20844322823655</v>
      </c>
      <c r="F282" s="200">
        <f>Dat_02!D281</f>
        <v>129.67177197597073</v>
      </c>
      <c r="G282" s="200">
        <f>Dat_02!E281</f>
        <v>129.67177197597073</v>
      </c>
      <c r="I282" s="201">
        <f>Dat_02!G281</f>
        <v>0</v>
      </c>
      <c r="J282" s="207" t="str">
        <f>IF(Dat_02!H281=0,"",Dat_02!H281)</f>
        <v/>
      </c>
    </row>
    <row r="283" spans="2:10">
      <c r="B283" s="198"/>
      <c r="C283" s="199">
        <f>Dat_02!B282</f>
        <v>45723</v>
      </c>
      <c r="D283" s="198"/>
      <c r="E283" s="200">
        <f>Dat_02!C282</f>
        <v>163.06308969623467</v>
      </c>
      <c r="F283" s="200">
        <f>Dat_02!D282</f>
        <v>129.67177197597073</v>
      </c>
      <c r="G283" s="200">
        <f>Dat_02!E282</f>
        <v>129.67177197597073</v>
      </c>
      <c r="I283" s="201">
        <f>Dat_02!G282</f>
        <v>0</v>
      </c>
      <c r="J283" s="207" t="str">
        <f>IF(Dat_02!H282=0,"",Dat_02!H282)</f>
        <v/>
      </c>
    </row>
    <row r="284" spans="2:10">
      <c r="B284" s="198"/>
      <c r="C284" s="199">
        <f>Dat_02!B283</f>
        <v>45724</v>
      </c>
      <c r="D284" s="198"/>
      <c r="E284" s="200">
        <f>Dat_02!C283</f>
        <v>125.69828429223841</v>
      </c>
      <c r="F284" s="200">
        <f>Dat_02!D283</f>
        <v>129.67177197597073</v>
      </c>
      <c r="G284" s="200">
        <f>Dat_02!E283</f>
        <v>125.69828429223841</v>
      </c>
      <c r="I284" s="201">
        <f>Dat_02!G283</f>
        <v>0</v>
      </c>
      <c r="J284" s="207" t="str">
        <f>IF(Dat_02!H283=0,"",Dat_02!H283)</f>
        <v/>
      </c>
    </row>
    <row r="285" spans="2:10">
      <c r="B285" s="198"/>
      <c r="C285" s="199">
        <f>Dat_02!B284</f>
        <v>45725</v>
      </c>
      <c r="D285" s="198"/>
      <c r="E285" s="200">
        <f>Dat_02!C284</f>
        <v>150.68621081623471</v>
      </c>
      <c r="F285" s="200">
        <f>Dat_02!D284</f>
        <v>129.67177197597073</v>
      </c>
      <c r="G285" s="200">
        <f>Dat_02!E284</f>
        <v>129.67177197597073</v>
      </c>
      <c r="I285" s="201">
        <f>Dat_02!G284</f>
        <v>0</v>
      </c>
      <c r="J285" s="207" t="str">
        <f>IF(Dat_02!H284=0,"",Dat_02!H284)</f>
        <v/>
      </c>
    </row>
    <row r="286" spans="2:10">
      <c r="B286" s="198"/>
      <c r="C286" s="199">
        <f>Dat_02!B285</f>
        <v>45726</v>
      </c>
      <c r="D286" s="198"/>
      <c r="E286" s="200">
        <f>Dat_02!C285</f>
        <v>203.33182016823656</v>
      </c>
      <c r="F286" s="200">
        <f>Dat_02!D285</f>
        <v>129.67177197597073</v>
      </c>
      <c r="G286" s="200">
        <f>Dat_02!E285</f>
        <v>129.67177197597073</v>
      </c>
      <c r="I286" s="201">
        <f>Dat_02!G285</f>
        <v>0</v>
      </c>
      <c r="J286" s="207" t="str">
        <f>IF(Dat_02!H285=0,"",Dat_02!H285)</f>
        <v/>
      </c>
    </row>
    <row r="287" spans="2:10">
      <c r="B287" s="198"/>
      <c r="C287" s="199">
        <f>Dat_02!B286</f>
        <v>45727</v>
      </c>
      <c r="D287" s="198"/>
      <c r="E287" s="200">
        <f>Dat_02!C286</f>
        <v>206.57750930423285</v>
      </c>
      <c r="F287" s="200">
        <f>Dat_02!D286</f>
        <v>129.67177197597073</v>
      </c>
      <c r="G287" s="200">
        <f>Dat_02!E286</f>
        <v>129.67177197597073</v>
      </c>
      <c r="I287" s="201">
        <f>Dat_02!G286</f>
        <v>0</v>
      </c>
      <c r="J287" s="207" t="str">
        <f>IF(Dat_02!H286=0,"",Dat_02!H286)</f>
        <v/>
      </c>
    </row>
    <row r="288" spans="2:10">
      <c r="B288" s="198"/>
      <c r="C288" s="199">
        <f>Dat_02!B287</f>
        <v>45728</v>
      </c>
      <c r="D288" s="198"/>
      <c r="E288" s="200">
        <f>Dat_02!C287</f>
        <v>260.72134208219273</v>
      </c>
      <c r="F288" s="200">
        <f>Dat_02!D287</f>
        <v>129.67177197597073</v>
      </c>
      <c r="G288" s="200">
        <f>Dat_02!E287</f>
        <v>129.67177197597073</v>
      </c>
      <c r="I288" s="201">
        <f>Dat_02!G287</f>
        <v>0</v>
      </c>
      <c r="J288" s="207" t="str">
        <f>IF(Dat_02!H287=0,"",Dat_02!H287)</f>
        <v/>
      </c>
    </row>
    <row r="289" spans="2:10">
      <c r="B289" s="198"/>
      <c r="C289" s="199">
        <f>Dat_02!B288</f>
        <v>45729</v>
      </c>
      <c r="D289" s="198"/>
      <c r="E289" s="200">
        <f>Dat_02!C288</f>
        <v>279.58361424218526</v>
      </c>
      <c r="F289" s="200">
        <f>Dat_02!D288</f>
        <v>129.67177197597073</v>
      </c>
      <c r="G289" s="200">
        <f>Dat_02!E288</f>
        <v>129.67177197597073</v>
      </c>
      <c r="I289" s="201">
        <f>Dat_02!G288</f>
        <v>0</v>
      </c>
      <c r="J289" s="207" t="str">
        <f>IF(Dat_02!H288=0,"",Dat_02!H288)</f>
        <v/>
      </c>
    </row>
    <row r="290" spans="2:10">
      <c r="B290" s="198"/>
      <c r="C290" s="199">
        <f>Dat_02!B289</f>
        <v>45730</v>
      </c>
      <c r="D290" s="198"/>
      <c r="E290" s="200">
        <f>Dat_02!C289</f>
        <v>269.008879670189</v>
      </c>
      <c r="F290" s="200">
        <f>Dat_02!D289</f>
        <v>129.67177197597073</v>
      </c>
      <c r="G290" s="200">
        <f>Dat_02!E289</f>
        <v>129.67177197597073</v>
      </c>
      <c r="I290" s="201">
        <f>Dat_02!G289</f>
        <v>0</v>
      </c>
      <c r="J290" s="207" t="str">
        <f>IF(Dat_02!H289=0,"",Dat_02!H289)</f>
        <v/>
      </c>
    </row>
    <row r="291" spans="2:10">
      <c r="B291" s="198"/>
      <c r="C291" s="199">
        <f>Dat_02!B290</f>
        <v>45731</v>
      </c>
      <c r="D291" s="198"/>
      <c r="E291" s="200">
        <f>Dat_02!C290</f>
        <v>259.37094106618713</v>
      </c>
      <c r="F291" s="200">
        <f>Dat_02!D290</f>
        <v>129.67177197597073</v>
      </c>
      <c r="G291" s="200">
        <f>Dat_02!E290</f>
        <v>129.67177197597073</v>
      </c>
      <c r="I291" s="201">
        <f>Dat_02!G290</f>
        <v>0</v>
      </c>
      <c r="J291" s="207" t="str">
        <f>IF(Dat_02!H290=0,"",Dat_02!H290)</f>
        <v/>
      </c>
    </row>
    <row r="292" spans="2:10">
      <c r="B292" s="198"/>
      <c r="C292" s="199">
        <f>Dat_02!B291</f>
        <v>45732</v>
      </c>
      <c r="D292" s="198"/>
      <c r="E292" s="200">
        <f>Dat_02!C291</f>
        <v>258.50991149818901</v>
      </c>
      <c r="F292" s="200">
        <f>Dat_02!D291</f>
        <v>129.67177197597073</v>
      </c>
      <c r="G292" s="200">
        <f>Dat_02!E291</f>
        <v>129.67177197597073</v>
      </c>
      <c r="I292" s="201" t="str">
        <f>Dat_02!G291</f>
        <v/>
      </c>
      <c r="J292" s="207" t="str">
        <f>IF(Dat_02!H291=0,"",Dat_02!H291)</f>
        <v/>
      </c>
    </row>
    <row r="293" spans="2:10">
      <c r="B293" s="198"/>
      <c r="C293" s="199">
        <f>Dat_02!B292</f>
        <v>45733</v>
      </c>
      <c r="D293" s="198"/>
      <c r="E293" s="200">
        <f>Dat_02!C292</f>
        <v>274.74497879018713</v>
      </c>
      <c r="F293" s="200">
        <f>Dat_02!D292</f>
        <v>129.67177197597073</v>
      </c>
      <c r="G293" s="200">
        <f>Dat_02!E292</f>
        <v>129.67177197597073</v>
      </c>
      <c r="I293" s="201">
        <f>Dat_02!G292</f>
        <v>0</v>
      </c>
      <c r="J293" s="207" t="str">
        <f>IF(Dat_02!H292=0,"",Dat_02!H292)</f>
        <v/>
      </c>
    </row>
    <row r="294" spans="2:10">
      <c r="B294" s="198"/>
      <c r="C294" s="199">
        <f>Dat_02!B293</f>
        <v>45734</v>
      </c>
      <c r="D294" s="198"/>
      <c r="E294" s="200">
        <f>Dat_02!C293</f>
        <v>268.39013511018896</v>
      </c>
      <c r="F294" s="200">
        <f>Dat_02!D293</f>
        <v>129.67177197597073</v>
      </c>
      <c r="G294" s="200">
        <f>Dat_02!E293</f>
        <v>129.67177197597073</v>
      </c>
      <c r="I294" s="201">
        <f>Dat_02!G293</f>
        <v>0</v>
      </c>
      <c r="J294" s="207" t="str">
        <f>IF(Dat_02!H293=0,"",Dat_02!H293)</f>
        <v/>
      </c>
    </row>
    <row r="295" spans="2:10">
      <c r="B295" s="198"/>
      <c r="C295" s="199">
        <f>Dat_02!B294</f>
        <v>45735</v>
      </c>
      <c r="D295" s="198"/>
      <c r="E295" s="200">
        <f>Dat_02!C294</f>
        <v>253.51327585485873</v>
      </c>
      <c r="F295" s="200">
        <f>Dat_02!D294</f>
        <v>129.67177197597073</v>
      </c>
      <c r="G295" s="200">
        <f>Dat_02!E294</f>
        <v>129.67177197597073</v>
      </c>
      <c r="I295" s="201">
        <f>Dat_02!G294</f>
        <v>0</v>
      </c>
      <c r="J295" s="207" t="str">
        <f>IF(Dat_02!H294=0,"",Dat_02!H294)</f>
        <v/>
      </c>
    </row>
    <row r="296" spans="2:10">
      <c r="B296" s="198"/>
      <c r="C296" s="199">
        <f>Dat_02!B295</f>
        <v>45736</v>
      </c>
      <c r="D296" s="198"/>
      <c r="E296" s="200">
        <f>Dat_02!C295</f>
        <v>244.80423513085688</v>
      </c>
      <c r="F296" s="200">
        <f>Dat_02!D295</f>
        <v>129.67177197597073</v>
      </c>
      <c r="G296" s="200">
        <f>Dat_02!E295</f>
        <v>129.67177197597073</v>
      </c>
      <c r="I296" s="201">
        <f>Dat_02!G295</f>
        <v>0</v>
      </c>
      <c r="J296" s="207" t="str">
        <f>IF(Dat_02!H295=0,"",Dat_02!H295)</f>
        <v/>
      </c>
    </row>
    <row r="297" spans="2:10">
      <c r="B297" s="198"/>
      <c r="C297" s="199">
        <f>Dat_02!B296</f>
        <v>45737</v>
      </c>
      <c r="D297" s="198"/>
      <c r="E297" s="200">
        <f>Dat_02!C296</f>
        <v>249.04932323485875</v>
      </c>
      <c r="F297" s="200">
        <f>Dat_02!D296</f>
        <v>129.67177197597073</v>
      </c>
      <c r="G297" s="200">
        <f>Dat_02!E296</f>
        <v>129.67177197597073</v>
      </c>
      <c r="I297" s="201">
        <f>Dat_02!G296</f>
        <v>0</v>
      </c>
      <c r="J297" s="207" t="str">
        <f>IF(Dat_02!H296=0,"",Dat_02!H296)</f>
        <v/>
      </c>
    </row>
    <row r="298" spans="2:10">
      <c r="B298" s="198"/>
      <c r="C298" s="199">
        <f>Dat_02!B297</f>
        <v>45738</v>
      </c>
      <c r="D298" s="198"/>
      <c r="E298" s="200">
        <f>Dat_02!C297</f>
        <v>257.70342058285877</v>
      </c>
      <c r="F298" s="200">
        <f>Dat_02!D297</f>
        <v>129.67177197597073</v>
      </c>
      <c r="G298" s="200">
        <f>Dat_02!E297</f>
        <v>129.67177197597073</v>
      </c>
      <c r="I298" s="201">
        <f>Dat_02!G297</f>
        <v>0</v>
      </c>
      <c r="J298" s="207" t="str">
        <f>IF(Dat_02!H297=0,"",Dat_02!H297)</f>
        <v/>
      </c>
    </row>
    <row r="299" spans="2:10">
      <c r="B299" s="198"/>
      <c r="C299" s="199">
        <f>Dat_02!B298</f>
        <v>45739</v>
      </c>
      <c r="D299" s="198"/>
      <c r="E299" s="200">
        <f>Dat_02!C298</f>
        <v>264.51629984285876</v>
      </c>
      <c r="F299" s="200">
        <f>Dat_02!D298</f>
        <v>129.67177197597073</v>
      </c>
      <c r="G299" s="200">
        <f>Dat_02!E298</f>
        <v>129.67177197597073</v>
      </c>
      <c r="I299" s="201">
        <f>Dat_02!G298</f>
        <v>0</v>
      </c>
      <c r="J299" s="207" t="str">
        <f>IF(Dat_02!H298=0,"",Dat_02!H298)</f>
        <v/>
      </c>
    </row>
    <row r="300" spans="2:10">
      <c r="B300" s="198"/>
      <c r="C300" s="199">
        <f>Dat_02!B299</f>
        <v>45740</v>
      </c>
      <c r="D300" s="198"/>
      <c r="E300" s="200">
        <f>Dat_02!C299</f>
        <v>287.37526099486064</v>
      </c>
      <c r="F300" s="200">
        <f>Dat_02!D299</f>
        <v>129.67177197597073</v>
      </c>
      <c r="G300" s="200">
        <f>Dat_02!E299</f>
        <v>129.67177197597073</v>
      </c>
      <c r="I300" s="201">
        <f>Dat_02!G299</f>
        <v>0</v>
      </c>
      <c r="J300" s="207" t="str">
        <f>IF(Dat_02!H299=0,"",Dat_02!H299)</f>
        <v/>
      </c>
    </row>
    <row r="301" spans="2:10">
      <c r="B301" s="198"/>
      <c r="C301" s="199">
        <f>Dat_02!B300</f>
        <v>45741</v>
      </c>
      <c r="D301" s="198"/>
      <c r="E301" s="200">
        <f>Dat_02!C300</f>
        <v>304.05147339086062</v>
      </c>
      <c r="F301" s="200">
        <f>Dat_02!D300</f>
        <v>129.67177197597073</v>
      </c>
      <c r="G301" s="200">
        <f>Dat_02!E300</f>
        <v>129.67177197597073</v>
      </c>
      <c r="I301" s="201">
        <f>Dat_02!G300</f>
        <v>0</v>
      </c>
      <c r="J301" s="207" t="str">
        <f>IF(Dat_02!H300=0,"",Dat_02!H300)</f>
        <v/>
      </c>
    </row>
    <row r="302" spans="2:10">
      <c r="B302" s="198"/>
      <c r="C302" s="199">
        <f>Dat_02!B301</f>
        <v>45742</v>
      </c>
      <c r="D302" s="198"/>
      <c r="E302" s="200">
        <f>Dat_02!C301</f>
        <v>243.45238422999719</v>
      </c>
      <c r="F302" s="200">
        <f>Dat_02!D301</f>
        <v>129.67177197597073</v>
      </c>
      <c r="G302" s="200">
        <f>Dat_02!E301</f>
        <v>129.67177197597073</v>
      </c>
      <c r="I302" s="201">
        <f>Dat_02!G301</f>
        <v>0</v>
      </c>
      <c r="J302" s="207" t="str">
        <f>IF(Dat_02!H301=0,"",Dat_02!H301)</f>
        <v/>
      </c>
    </row>
    <row r="303" spans="2:10">
      <c r="B303" s="198"/>
      <c r="C303" s="199">
        <f>Dat_02!B302</f>
        <v>45743</v>
      </c>
      <c r="D303" s="198"/>
      <c r="E303" s="200">
        <f>Dat_02!C302</f>
        <v>244.45377604599909</v>
      </c>
      <c r="F303" s="200">
        <f>Dat_02!D302</f>
        <v>129.67177197597073</v>
      </c>
      <c r="G303" s="200">
        <f>Dat_02!E302</f>
        <v>129.67177197597073</v>
      </c>
      <c r="I303" s="201">
        <f>Dat_02!G302</f>
        <v>0</v>
      </c>
      <c r="J303" s="207" t="str">
        <f>IF(Dat_02!H302=0,"",Dat_02!H302)</f>
        <v/>
      </c>
    </row>
    <row r="304" spans="2:10">
      <c r="B304" s="198"/>
      <c r="C304" s="199">
        <f>Dat_02!B303</f>
        <v>45744</v>
      </c>
      <c r="D304" s="198"/>
      <c r="E304" s="200">
        <f>Dat_02!C303</f>
        <v>231.54739772199534</v>
      </c>
      <c r="F304" s="200">
        <f>Dat_02!D303</f>
        <v>129.67177197597073</v>
      </c>
      <c r="G304" s="200">
        <f>Dat_02!E303</f>
        <v>129.67177197597073</v>
      </c>
      <c r="I304" s="201">
        <f>Dat_02!G303</f>
        <v>0</v>
      </c>
      <c r="J304" s="207" t="str">
        <f>IF(Dat_02!H303=0,"",Dat_02!H303)</f>
        <v/>
      </c>
    </row>
    <row r="305" spans="2:10">
      <c r="B305" s="198"/>
      <c r="C305" s="199">
        <f>Dat_02!B304</f>
        <v>45745</v>
      </c>
      <c r="D305" s="198"/>
      <c r="E305" s="200">
        <f>Dat_02!C304</f>
        <v>192.43641107399907</v>
      </c>
      <c r="F305" s="200">
        <f>Dat_02!D304</f>
        <v>129.67177197597073</v>
      </c>
      <c r="G305" s="200">
        <f>Dat_02!E304</f>
        <v>129.67177197597073</v>
      </c>
      <c r="I305" s="201">
        <f>Dat_02!G304</f>
        <v>0</v>
      </c>
      <c r="J305" s="207" t="str">
        <f>IF(Dat_02!H304=0,"",Dat_02!H304)</f>
        <v/>
      </c>
    </row>
    <row r="306" spans="2:10">
      <c r="B306" s="198"/>
      <c r="C306" s="199">
        <f>Dat_02!B305</f>
        <v>45746</v>
      </c>
      <c r="D306" s="198"/>
      <c r="E306" s="200">
        <f>Dat_02!C305</f>
        <v>164.16849898999905</v>
      </c>
      <c r="F306" s="200">
        <f>Dat_02!D305</f>
        <v>129.67177197597073</v>
      </c>
      <c r="G306" s="200">
        <f>Dat_02!E305</f>
        <v>129.67177197597073</v>
      </c>
      <c r="I306" s="201">
        <f>Dat_02!G305</f>
        <v>0</v>
      </c>
      <c r="J306" s="207" t="str">
        <f>IF(Dat_02!H305=0,"",Dat_02!H305)</f>
        <v/>
      </c>
    </row>
    <row r="307" spans="2:10">
      <c r="B307" s="198"/>
      <c r="C307" s="199">
        <f>Dat_02!B306</f>
        <v>45747</v>
      </c>
      <c r="D307" s="198"/>
      <c r="E307" s="200">
        <f>Dat_02!C306</f>
        <v>195.20431016599906</v>
      </c>
      <c r="F307" s="200">
        <f>Dat_02!D306</f>
        <v>129.67177197597073</v>
      </c>
      <c r="G307" s="200">
        <f>Dat_02!E306</f>
        <v>129.67177197597073</v>
      </c>
      <c r="I307" s="201">
        <f>Dat_02!G306</f>
        <v>0</v>
      </c>
      <c r="J307" s="207" t="str">
        <f>IF(Dat_02!H306=0,"",Dat_02!H306)</f>
        <v/>
      </c>
    </row>
    <row r="308" spans="2:10">
      <c r="B308" s="198" t="s">
        <v>178</v>
      </c>
      <c r="C308" s="199">
        <f>Dat_02!B307</f>
        <v>45748</v>
      </c>
      <c r="D308" s="198"/>
      <c r="E308" s="200">
        <f>Dat_02!C307</f>
        <v>221.26320911799905</v>
      </c>
      <c r="F308" s="200">
        <f>Dat_02!D307</f>
        <v>123.24737037204483</v>
      </c>
      <c r="G308" s="200">
        <f>Dat_02!E307</f>
        <v>123.24737037204483</v>
      </c>
      <c r="I308" s="201">
        <f>Dat_02!G307</f>
        <v>0</v>
      </c>
      <c r="J308" s="207" t="str">
        <f>IF(Dat_02!H307=0,"",Dat_02!H307)</f>
        <v/>
      </c>
    </row>
    <row r="309" spans="2:10">
      <c r="B309" s="198"/>
      <c r="C309" s="199">
        <f>Dat_02!B308</f>
        <v>45749</v>
      </c>
      <c r="D309" s="198"/>
      <c r="E309" s="200">
        <f>Dat_02!C308</f>
        <v>180.55333993612359</v>
      </c>
      <c r="F309" s="200">
        <f>Dat_02!D308</f>
        <v>123.24737037204483</v>
      </c>
      <c r="G309" s="200">
        <f>Dat_02!E308</f>
        <v>123.24737037204483</v>
      </c>
      <c r="I309" s="201">
        <f>Dat_02!G308</f>
        <v>0</v>
      </c>
      <c r="J309" s="207" t="str">
        <f>IF(Dat_02!H308=0,"",Dat_02!H308)</f>
        <v/>
      </c>
    </row>
    <row r="310" spans="2:10">
      <c r="B310" s="198"/>
      <c r="C310" s="199">
        <f>Dat_02!B309</f>
        <v>45750</v>
      </c>
      <c r="D310" s="198"/>
      <c r="E310" s="200">
        <f>Dat_02!C309</f>
        <v>180.96091761611987</v>
      </c>
      <c r="F310" s="200">
        <f>Dat_02!D309</f>
        <v>123.24737037204483</v>
      </c>
      <c r="G310" s="200">
        <f>Dat_02!E309</f>
        <v>123.24737037204483</v>
      </c>
      <c r="I310" s="201">
        <f>Dat_02!G309</f>
        <v>0</v>
      </c>
      <c r="J310" s="207" t="str">
        <f>IF(Dat_02!H309=0,"",Dat_02!H309)</f>
        <v/>
      </c>
    </row>
    <row r="311" spans="2:10">
      <c r="B311" s="198"/>
      <c r="C311" s="199">
        <f>Dat_02!B310</f>
        <v>45751</v>
      </c>
      <c r="D311" s="198"/>
      <c r="E311" s="200">
        <f>Dat_02!C310</f>
        <v>168.0264570641236</v>
      </c>
      <c r="F311" s="200">
        <f>Dat_02!D310</f>
        <v>123.24737037204483</v>
      </c>
      <c r="G311" s="200">
        <f>Dat_02!E310</f>
        <v>123.24737037204483</v>
      </c>
      <c r="I311" s="201">
        <f>Dat_02!G310</f>
        <v>0</v>
      </c>
      <c r="J311" s="207" t="str">
        <f>IF(Dat_02!H310=0,"",Dat_02!H310)</f>
        <v/>
      </c>
    </row>
    <row r="312" spans="2:10">
      <c r="B312" s="198"/>
      <c r="C312" s="199">
        <f>Dat_02!B311</f>
        <v>45752</v>
      </c>
      <c r="D312" s="198"/>
      <c r="E312" s="200">
        <f>Dat_02!C311</f>
        <v>159.83679114012355</v>
      </c>
      <c r="F312" s="200">
        <f>Dat_02!D311</f>
        <v>123.24737037204483</v>
      </c>
      <c r="G312" s="200">
        <f>Dat_02!E311</f>
        <v>123.24737037204483</v>
      </c>
      <c r="I312" s="201">
        <f>Dat_02!G311</f>
        <v>0</v>
      </c>
      <c r="J312" s="207" t="str">
        <f>IF(Dat_02!H311=0,"",Dat_02!H311)</f>
        <v/>
      </c>
    </row>
    <row r="313" spans="2:10">
      <c r="B313" s="198"/>
      <c r="C313" s="199">
        <f>Dat_02!B312</f>
        <v>45753</v>
      </c>
      <c r="D313" s="198"/>
      <c r="E313" s="200">
        <f>Dat_02!C312</f>
        <v>156.55629739611985</v>
      </c>
      <c r="F313" s="200">
        <f>Dat_02!D312</f>
        <v>123.24737037204483</v>
      </c>
      <c r="G313" s="200">
        <f>Dat_02!E312</f>
        <v>123.24737037204483</v>
      </c>
      <c r="I313" s="201">
        <f>Dat_02!G312</f>
        <v>0</v>
      </c>
      <c r="J313" s="207" t="str">
        <f>IF(Dat_02!H312=0,"",Dat_02!H312)</f>
        <v/>
      </c>
    </row>
    <row r="314" spans="2:10">
      <c r="B314" s="198"/>
      <c r="C314" s="199">
        <f>Dat_02!B313</f>
        <v>45754</v>
      </c>
      <c r="D314" s="198"/>
      <c r="E314" s="200">
        <f>Dat_02!C313</f>
        <v>182.76668061212357</v>
      </c>
      <c r="F314" s="200">
        <f>Dat_02!D313</f>
        <v>123.24737037204483</v>
      </c>
      <c r="G314" s="200">
        <f>Dat_02!E313</f>
        <v>123.24737037204483</v>
      </c>
      <c r="I314" s="201">
        <f>Dat_02!G313</f>
        <v>0</v>
      </c>
      <c r="J314" s="207" t="str">
        <f>IF(Dat_02!H313=0,"",Dat_02!H313)</f>
        <v/>
      </c>
    </row>
    <row r="315" spans="2:10">
      <c r="B315" s="198"/>
      <c r="C315" s="199">
        <f>Dat_02!B314</f>
        <v>45755</v>
      </c>
      <c r="D315" s="198"/>
      <c r="E315" s="200">
        <f>Dat_02!C314</f>
        <v>188.01215362812172</v>
      </c>
      <c r="F315" s="200">
        <f>Dat_02!D314</f>
        <v>123.24737037204483</v>
      </c>
      <c r="G315" s="200">
        <f>Dat_02!E314</f>
        <v>123.24737037204483</v>
      </c>
      <c r="I315" s="201">
        <f>Dat_02!G314</f>
        <v>0</v>
      </c>
      <c r="J315" s="207" t="str">
        <f>IF(Dat_02!H314=0,"",Dat_02!H314)</f>
        <v/>
      </c>
    </row>
    <row r="316" spans="2:10">
      <c r="B316" s="198"/>
      <c r="C316" s="199">
        <f>Dat_02!B315</f>
        <v>45756</v>
      </c>
      <c r="D316" s="198"/>
      <c r="E316" s="200">
        <f>Dat_02!C315</f>
        <v>173.92783060485559</v>
      </c>
      <c r="F316" s="200">
        <f>Dat_02!D315</f>
        <v>123.24737037204483</v>
      </c>
      <c r="G316" s="200">
        <f>Dat_02!E315</f>
        <v>123.24737037204483</v>
      </c>
      <c r="I316" s="201">
        <f>Dat_02!G315</f>
        <v>0</v>
      </c>
      <c r="J316" s="207" t="str">
        <f>IF(Dat_02!H315=0,"",Dat_02!H315)</f>
        <v/>
      </c>
    </row>
    <row r="317" spans="2:10">
      <c r="B317" s="198"/>
      <c r="C317" s="199">
        <f>Dat_02!B316</f>
        <v>45757</v>
      </c>
      <c r="D317" s="198"/>
      <c r="E317" s="200">
        <f>Dat_02!C316</f>
        <v>156.26349872885743</v>
      </c>
      <c r="F317" s="200">
        <f>Dat_02!D316</f>
        <v>123.24737037204483</v>
      </c>
      <c r="G317" s="200">
        <f>Dat_02!E316</f>
        <v>123.24737037204483</v>
      </c>
      <c r="I317" s="201">
        <f>Dat_02!G316</f>
        <v>0</v>
      </c>
      <c r="J317" s="207" t="str">
        <f>IF(Dat_02!H316=0,"",Dat_02!H316)</f>
        <v/>
      </c>
    </row>
    <row r="318" spans="2:10">
      <c r="B318" s="198"/>
      <c r="C318" s="199">
        <f>Dat_02!B317</f>
        <v>45758</v>
      </c>
      <c r="D318" s="198"/>
      <c r="E318" s="200">
        <f>Dat_02!C317</f>
        <v>162.35088714885558</v>
      </c>
      <c r="F318" s="200">
        <f>Dat_02!D317</f>
        <v>123.24737037204483</v>
      </c>
      <c r="G318" s="200">
        <f>Dat_02!E317</f>
        <v>123.24737037204483</v>
      </c>
      <c r="I318" s="201">
        <f>Dat_02!G317</f>
        <v>0</v>
      </c>
      <c r="J318" s="207" t="str">
        <f>IF(Dat_02!H317=0,"",Dat_02!H317)</f>
        <v/>
      </c>
    </row>
    <row r="319" spans="2:10">
      <c r="B319" s="198"/>
      <c r="C319" s="199">
        <f>Dat_02!B318</f>
        <v>45759</v>
      </c>
      <c r="D319" s="198"/>
      <c r="E319" s="200">
        <f>Dat_02!C318</f>
        <v>167.50081851285557</v>
      </c>
      <c r="F319" s="200">
        <f>Dat_02!D318</f>
        <v>123.24737037204483</v>
      </c>
      <c r="G319" s="200">
        <f>Dat_02!E318</f>
        <v>123.24737037204483</v>
      </c>
      <c r="I319" s="201">
        <f>Dat_02!G318</f>
        <v>0</v>
      </c>
      <c r="J319" s="207" t="str">
        <f>IF(Dat_02!H318=0,"",Dat_02!H318)</f>
        <v/>
      </c>
    </row>
    <row r="320" spans="2:10">
      <c r="B320" s="198"/>
      <c r="C320" s="199">
        <f>Dat_02!B319</f>
        <v>45760</v>
      </c>
      <c r="D320" s="198"/>
      <c r="E320" s="200">
        <f>Dat_02!C319</f>
        <v>150.47629389685369</v>
      </c>
      <c r="F320" s="200">
        <f>Dat_02!D319</f>
        <v>123.24737037204483</v>
      </c>
      <c r="G320" s="200">
        <f>Dat_02!E319</f>
        <v>123.24737037204483</v>
      </c>
      <c r="I320" s="201">
        <f>Dat_02!G319</f>
        <v>0</v>
      </c>
      <c r="J320" s="207" t="str">
        <f>IF(Dat_02!H319=0,"",Dat_02!H319)</f>
        <v/>
      </c>
    </row>
    <row r="321" spans="2:10">
      <c r="B321" s="198"/>
      <c r="C321" s="199">
        <f>Dat_02!B320</f>
        <v>45761</v>
      </c>
      <c r="D321" s="198"/>
      <c r="E321" s="200">
        <f>Dat_02!C320</f>
        <v>158.20379072486116</v>
      </c>
      <c r="F321" s="200">
        <f>Dat_02!D320</f>
        <v>123.24737037204483</v>
      </c>
      <c r="G321" s="200">
        <f>Dat_02!E320</f>
        <v>123.24737037204483</v>
      </c>
      <c r="I321" s="201">
        <f>Dat_02!G320</f>
        <v>0</v>
      </c>
      <c r="J321" s="207" t="str">
        <f>IF(Dat_02!H320=0,"",Dat_02!H320)</f>
        <v/>
      </c>
    </row>
    <row r="322" spans="2:10">
      <c r="B322" s="198"/>
      <c r="C322" s="199">
        <f>Dat_02!B321</f>
        <v>45762</v>
      </c>
      <c r="D322" s="198"/>
      <c r="E322" s="200">
        <f>Dat_02!C321</f>
        <v>143.51007596885557</v>
      </c>
      <c r="F322" s="200">
        <f>Dat_02!D321</f>
        <v>123.24737037204483</v>
      </c>
      <c r="G322" s="200">
        <f>Dat_02!E321</f>
        <v>123.24737037204483</v>
      </c>
      <c r="I322" s="201">
        <f>Dat_02!G321</f>
        <v>0</v>
      </c>
      <c r="J322" s="207" t="str">
        <f>IF(Dat_02!H321=0,"",Dat_02!H321)</f>
        <v/>
      </c>
    </row>
    <row r="323" spans="2:10">
      <c r="B323" s="198"/>
      <c r="C323" s="199">
        <f>Dat_02!B322</f>
        <v>45763</v>
      </c>
      <c r="D323" s="198"/>
      <c r="E323" s="200">
        <f>Dat_02!C322</f>
        <v>199.65495369631856</v>
      </c>
      <c r="F323" s="200">
        <f>Dat_02!D322</f>
        <v>123.24737037204483</v>
      </c>
      <c r="G323" s="200">
        <f>Dat_02!E322</f>
        <v>123.24737037204483</v>
      </c>
      <c r="I323" s="201" t="str">
        <f>Dat_02!G322</f>
        <v/>
      </c>
      <c r="J323" s="207" t="str">
        <f>IF(Dat_02!H322=0,"",Dat_02!H322)</f>
        <v/>
      </c>
    </row>
    <row r="324" spans="2:10">
      <c r="B324" s="198"/>
      <c r="C324" s="199">
        <f>Dat_02!B323</f>
        <v>45764</v>
      </c>
      <c r="D324" s="198"/>
      <c r="E324" s="200">
        <f>Dat_02!C323</f>
        <v>196.65069835632417</v>
      </c>
      <c r="F324" s="200">
        <f>Dat_02!D323</f>
        <v>123.24737037204483</v>
      </c>
      <c r="G324" s="200">
        <f>Dat_02!E323</f>
        <v>123.24737037204483</v>
      </c>
      <c r="I324" s="201">
        <f>Dat_02!G323</f>
        <v>0</v>
      </c>
      <c r="J324" s="207" t="str">
        <f>IF(Dat_02!H323=0,"",Dat_02!H323)</f>
        <v/>
      </c>
    </row>
    <row r="325" spans="2:10">
      <c r="B325" s="198"/>
      <c r="C325" s="199">
        <f>Dat_02!B324</f>
        <v>45765</v>
      </c>
      <c r="D325" s="198"/>
      <c r="E325" s="200">
        <f>Dat_02!C324</f>
        <v>192.75560723632046</v>
      </c>
      <c r="F325" s="200">
        <f>Dat_02!D324</f>
        <v>123.24737037204483</v>
      </c>
      <c r="G325" s="200">
        <f>Dat_02!E324</f>
        <v>123.24737037204483</v>
      </c>
      <c r="I325" s="201">
        <f>Dat_02!G324</f>
        <v>0</v>
      </c>
      <c r="J325" s="207" t="str">
        <f>IF(Dat_02!H324=0,"",Dat_02!H324)</f>
        <v/>
      </c>
    </row>
    <row r="326" spans="2:10">
      <c r="B326" s="198"/>
      <c r="C326" s="199">
        <f>Dat_02!B325</f>
        <v>45766</v>
      </c>
      <c r="D326" s="198"/>
      <c r="E326" s="200">
        <f>Dat_02!C325</f>
        <v>184.53763434032228</v>
      </c>
      <c r="F326" s="200">
        <f>Dat_02!D325</f>
        <v>123.24737037204483</v>
      </c>
      <c r="G326" s="200">
        <f>Dat_02!E325</f>
        <v>123.24737037204483</v>
      </c>
      <c r="I326" s="201">
        <f>Dat_02!G325</f>
        <v>0</v>
      </c>
      <c r="J326" s="207" t="str">
        <f>IF(Dat_02!H325=0,"",Dat_02!H325)</f>
        <v/>
      </c>
    </row>
    <row r="327" spans="2:10">
      <c r="B327" s="198"/>
      <c r="C327" s="199">
        <f>Dat_02!B326</f>
        <v>45767</v>
      </c>
      <c r="D327" s="198"/>
      <c r="E327" s="200">
        <f>Dat_02!C326</f>
        <v>200.91232633632416</v>
      </c>
      <c r="F327" s="200">
        <f>Dat_02!D326</f>
        <v>123.24737037204483</v>
      </c>
      <c r="G327" s="200">
        <f>Dat_02!E326</f>
        <v>123.24737037204483</v>
      </c>
      <c r="I327" s="201">
        <f>Dat_02!G326</f>
        <v>0</v>
      </c>
      <c r="J327" s="207" t="str">
        <f>IF(Dat_02!H326=0,"",Dat_02!H326)</f>
        <v/>
      </c>
    </row>
    <row r="328" spans="2:10">
      <c r="B328" s="198"/>
      <c r="C328" s="199">
        <f>Dat_02!B327</f>
        <v>45768</v>
      </c>
      <c r="D328" s="198"/>
      <c r="E328" s="200">
        <f>Dat_02!C327</f>
        <v>230.91631107632045</v>
      </c>
      <c r="F328" s="200">
        <f>Dat_02!D327</f>
        <v>123.24737037204483</v>
      </c>
      <c r="G328" s="200">
        <f>Dat_02!E327</f>
        <v>123.24737037204483</v>
      </c>
      <c r="I328" s="201">
        <f>Dat_02!G327</f>
        <v>0</v>
      </c>
      <c r="J328" s="207" t="str">
        <f>IF(Dat_02!H327=0,"",Dat_02!H327)</f>
        <v/>
      </c>
    </row>
    <row r="329" spans="2:10">
      <c r="B329" s="198"/>
      <c r="C329" s="199">
        <f>Dat_02!B328</f>
        <v>45769</v>
      </c>
      <c r="D329" s="198"/>
      <c r="E329" s="200">
        <f>Dat_02!C328</f>
        <v>247.08795600432603</v>
      </c>
      <c r="F329" s="200">
        <f>Dat_02!D328</f>
        <v>123.24737037204483</v>
      </c>
      <c r="G329" s="200">
        <f>Dat_02!E328</f>
        <v>123.24737037204483</v>
      </c>
      <c r="I329" s="201">
        <f>Dat_02!G328</f>
        <v>0</v>
      </c>
      <c r="J329" s="207" t="str">
        <f>IF(Dat_02!H328=0,"",Dat_02!H328)</f>
        <v/>
      </c>
    </row>
    <row r="330" spans="2:10">
      <c r="B330" s="198"/>
      <c r="C330" s="199">
        <f>Dat_02!B329</f>
        <v>45770</v>
      </c>
      <c r="D330" s="198"/>
      <c r="E330" s="200">
        <f>Dat_02!C329</f>
        <v>198.17274472807989</v>
      </c>
      <c r="F330" s="200">
        <f>Dat_02!D329</f>
        <v>123.24737037204483</v>
      </c>
      <c r="G330" s="200">
        <f>Dat_02!E329</f>
        <v>123.24737037204483</v>
      </c>
      <c r="I330" s="201">
        <f>Dat_02!G329</f>
        <v>0</v>
      </c>
      <c r="J330" s="207" t="str">
        <f>IF(Dat_02!H329=0,"",Dat_02!H329)</f>
        <v/>
      </c>
    </row>
    <row r="331" spans="2:10">
      <c r="B331" s="198"/>
      <c r="C331" s="199">
        <f>Dat_02!B330</f>
        <v>45771</v>
      </c>
      <c r="D331" s="198"/>
      <c r="E331" s="200">
        <f>Dat_02!C330</f>
        <v>181.11172907207802</v>
      </c>
      <c r="F331" s="200">
        <f>Dat_02!D330</f>
        <v>123.24737037204483</v>
      </c>
      <c r="G331" s="200">
        <f>Dat_02!E330</f>
        <v>123.24737037204483</v>
      </c>
      <c r="I331" s="201">
        <f>Dat_02!G330</f>
        <v>0</v>
      </c>
      <c r="J331" s="207" t="str">
        <f>IF(Dat_02!H330=0,"",Dat_02!H330)</f>
        <v/>
      </c>
    </row>
    <row r="332" spans="2:10">
      <c r="B332" s="198"/>
      <c r="C332" s="199">
        <f>Dat_02!B331</f>
        <v>45772</v>
      </c>
      <c r="D332" s="198"/>
      <c r="E332" s="200">
        <f>Dat_02!C331</f>
        <v>183.71328016008175</v>
      </c>
      <c r="F332" s="200">
        <f>Dat_02!D331</f>
        <v>123.24737037204483</v>
      </c>
      <c r="G332" s="200">
        <f>Dat_02!E331</f>
        <v>123.24737037204483</v>
      </c>
      <c r="I332" s="201">
        <f>Dat_02!G331</f>
        <v>0</v>
      </c>
      <c r="J332" s="207" t="str">
        <f>IF(Dat_02!H331=0,"",Dat_02!H331)</f>
        <v/>
      </c>
    </row>
    <row r="333" spans="2:10">
      <c r="B333" s="198"/>
      <c r="C333" s="199">
        <f>Dat_02!B332</f>
        <v>45773</v>
      </c>
      <c r="D333" s="198"/>
      <c r="E333" s="200">
        <f>Dat_02!C332</f>
        <v>149.44226425208362</v>
      </c>
      <c r="F333" s="200">
        <f>Dat_02!D332</f>
        <v>123.24737037204483</v>
      </c>
      <c r="G333" s="200">
        <f>Dat_02!E332</f>
        <v>123.24737037204483</v>
      </c>
      <c r="I333" s="201">
        <f>Dat_02!G332</f>
        <v>0</v>
      </c>
      <c r="J333" s="207" t="str">
        <f>IF(Dat_02!H332=0,"",Dat_02!H332)</f>
        <v/>
      </c>
    </row>
    <row r="334" spans="2:10">
      <c r="B334" s="198"/>
      <c r="C334" s="199">
        <f>Dat_02!B333</f>
        <v>45774</v>
      </c>
      <c r="D334" s="198"/>
      <c r="E334" s="200">
        <f>Dat_02!C333</f>
        <v>134.9404650680836</v>
      </c>
      <c r="F334" s="200">
        <f>Dat_02!D333</f>
        <v>123.24737037204483</v>
      </c>
      <c r="G334" s="200">
        <f>Dat_02!E333</f>
        <v>123.24737037204483</v>
      </c>
      <c r="I334" s="201">
        <f>Dat_02!G333</f>
        <v>0</v>
      </c>
      <c r="J334" s="207" t="str">
        <f>IF(Dat_02!H333=0,"",Dat_02!H333)</f>
        <v/>
      </c>
    </row>
    <row r="335" spans="2:10">
      <c r="B335" s="198"/>
      <c r="C335" s="199">
        <f>Dat_02!B334</f>
        <v>45775</v>
      </c>
      <c r="D335" s="198"/>
      <c r="E335" s="200">
        <f>Dat_02!C334</f>
        <v>135.31203220407616</v>
      </c>
      <c r="F335" s="200">
        <f>Dat_02!D334</f>
        <v>123.24737037204483</v>
      </c>
      <c r="G335" s="200">
        <f>Dat_02!E334</f>
        <v>123.24737037204483</v>
      </c>
      <c r="I335" s="201">
        <f>Dat_02!G334</f>
        <v>0</v>
      </c>
      <c r="J335" s="207" t="str">
        <f>IF(Dat_02!H334=0,"",Dat_02!H334)</f>
        <v/>
      </c>
    </row>
    <row r="336" spans="2:10">
      <c r="B336" s="198"/>
      <c r="C336" s="199">
        <f>Dat_02!B335</f>
        <v>45776</v>
      </c>
      <c r="D336" s="198"/>
      <c r="E336" s="200">
        <f>Dat_02!C335</f>
        <v>199.45855122908358</v>
      </c>
      <c r="F336" s="200">
        <f>Dat_02!D335</f>
        <v>123.24737037204483</v>
      </c>
      <c r="G336" s="200">
        <f>Dat_02!E335</f>
        <v>123.24737037204483</v>
      </c>
      <c r="I336" s="201">
        <f>Dat_02!G335</f>
        <v>0</v>
      </c>
      <c r="J336" s="207" t="str">
        <f>IF(Dat_02!H335=0,"",Dat_02!H335)</f>
        <v/>
      </c>
    </row>
    <row r="337" spans="2:10">
      <c r="B337" s="198"/>
      <c r="C337" s="199">
        <f>Dat_02!B336</f>
        <v>45777</v>
      </c>
      <c r="D337" s="198"/>
      <c r="E337" s="200">
        <f>Dat_02!C336</f>
        <v>158.02199179189697</v>
      </c>
      <c r="F337" s="200">
        <f>Dat_02!D336</f>
        <v>123.24737037204483</v>
      </c>
      <c r="G337" s="200">
        <f>Dat_02!E336</f>
        <v>123.24737037204483</v>
      </c>
      <c r="I337" s="201">
        <f>Dat_02!G336</f>
        <v>0</v>
      </c>
      <c r="J337" s="207" t="str">
        <f>IF(Dat_02!H336=0,"",Dat_02!H336)</f>
        <v/>
      </c>
    </row>
    <row r="338" spans="2:10">
      <c r="B338" s="198"/>
      <c r="C338" s="199">
        <f>Dat_02!B337</f>
        <v>45778</v>
      </c>
      <c r="D338" s="198"/>
      <c r="E338" s="200">
        <f>Dat_02!C337</f>
        <v>140.25307234489512</v>
      </c>
      <c r="F338" s="200">
        <f>Dat_02!D337</f>
        <v>94.081084096418962</v>
      </c>
      <c r="G338" s="200">
        <f>Dat_02!E337</f>
        <v>94.081084096418962</v>
      </c>
      <c r="I338" s="201">
        <f>Dat_02!G337</f>
        <v>0</v>
      </c>
      <c r="J338" s="207" t="str">
        <f>IF(Dat_02!H337=0,"",Dat_02!H337)</f>
        <v/>
      </c>
    </row>
    <row r="339" spans="2:10">
      <c r="B339" s="198" t="s">
        <v>175</v>
      </c>
      <c r="C339" s="199">
        <f>Dat_02!B338</f>
        <v>45779</v>
      </c>
      <c r="D339" s="198"/>
      <c r="E339" s="200">
        <f>Dat_02!C338</f>
        <v>142.88925054489511</v>
      </c>
      <c r="F339" s="200">
        <f>Dat_02!D338</f>
        <v>94.081084096418962</v>
      </c>
      <c r="G339" s="200">
        <f>Dat_02!E338</f>
        <v>94.081084096418962</v>
      </c>
      <c r="I339" s="201">
        <f>Dat_02!G338</f>
        <v>0</v>
      </c>
      <c r="J339" s="207" t="str">
        <f>IF(Dat_02!H338=0,"",Dat_02!H338)</f>
        <v/>
      </c>
    </row>
    <row r="340" spans="2:10">
      <c r="B340" s="198"/>
      <c r="C340" s="199">
        <f>Dat_02!B339</f>
        <v>45780</v>
      </c>
      <c r="D340" s="198"/>
      <c r="E340" s="200">
        <f>Dat_02!C339</f>
        <v>143.15347762089323</v>
      </c>
      <c r="F340" s="200">
        <f>Dat_02!D339</f>
        <v>94.081084096418962</v>
      </c>
      <c r="G340" s="200">
        <f>Dat_02!E339</f>
        <v>94.081084096418962</v>
      </c>
      <c r="I340" s="201">
        <f>Dat_02!G339</f>
        <v>0</v>
      </c>
      <c r="J340" s="207" t="str">
        <f>IF(Dat_02!H339=0,"",Dat_02!H339)</f>
        <v/>
      </c>
    </row>
    <row r="341" spans="2:10">
      <c r="B341" s="198"/>
      <c r="C341" s="199">
        <f>Dat_02!B340</f>
        <v>45781</v>
      </c>
      <c r="D341" s="198"/>
      <c r="E341" s="200">
        <f>Dat_02!C340</f>
        <v>135.60109949689323</v>
      </c>
      <c r="F341" s="200">
        <f>Dat_02!D340</f>
        <v>94.081084096418962</v>
      </c>
      <c r="G341" s="200">
        <f>Dat_02!E340</f>
        <v>94.081084096418962</v>
      </c>
      <c r="I341" s="201">
        <f>Dat_02!G340</f>
        <v>0</v>
      </c>
      <c r="J341" s="207" t="str">
        <f>IF(Dat_02!H340=0,"",Dat_02!H340)</f>
        <v/>
      </c>
    </row>
    <row r="342" spans="2:10">
      <c r="B342" s="198"/>
      <c r="C342" s="199">
        <f>Dat_02!B341</f>
        <v>45782</v>
      </c>
      <c r="D342" s="198"/>
      <c r="E342" s="200">
        <f>Dat_02!C341</f>
        <v>149.30862135689694</v>
      </c>
      <c r="F342" s="200">
        <f>Dat_02!D341</f>
        <v>94.081084096418962</v>
      </c>
      <c r="G342" s="200">
        <f>Dat_02!E341</f>
        <v>94.081084096418962</v>
      </c>
      <c r="I342" s="201">
        <f>Dat_02!G341</f>
        <v>0</v>
      </c>
      <c r="J342" s="207" t="str">
        <f>IF(Dat_02!H341=0,"",Dat_02!H341)</f>
        <v/>
      </c>
    </row>
    <row r="343" spans="2:10">
      <c r="B343" s="198"/>
      <c r="C343" s="199">
        <f>Dat_02!B342</f>
        <v>45783</v>
      </c>
      <c r="D343" s="198"/>
      <c r="E343" s="200">
        <f>Dat_02!C342</f>
        <v>157.61868216089508</v>
      </c>
      <c r="F343" s="200">
        <f>Dat_02!D342</f>
        <v>94.081084096418962</v>
      </c>
      <c r="G343" s="200">
        <f>Dat_02!E342</f>
        <v>94.081084096418962</v>
      </c>
      <c r="I343" s="201">
        <f>Dat_02!G342</f>
        <v>0</v>
      </c>
      <c r="J343" s="207" t="str">
        <f>IF(Dat_02!H342=0,"",Dat_02!H342)</f>
        <v/>
      </c>
    </row>
    <row r="344" spans="2:10">
      <c r="B344" s="198"/>
      <c r="C344" s="199">
        <f>Dat_02!B343</f>
        <v>45784</v>
      </c>
      <c r="D344" s="198"/>
      <c r="E344" s="200">
        <f>Dat_02!C343</f>
        <v>154.78379642813192</v>
      </c>
      <c r="F344" s="200">
        <f>Dat_02!D343</f>
        <v>94.081084096418962</v>
      </c>
      <c r="G344" s="200">
        <f>Dat_02!E343</f>
        <v>94.081084096418962</v>
      </c>
      <c r="I344" s="201">
        <f>Dat_02!G343</f>
        <v>0</v>
      </c>
      <c r="J344" s="207" t="str">
        <f>IF(Dat_02!H343=0,"",Dat_02!H343)</f>
        <v/>
      </c>
    </row>
    <row r="345" spans="2:10">
      <c r="B345" s="198"/>
      <c r="C345" s="199">
        <f>Dat_02!B344</f>
        <v>45785</v>
      </c>
      <c r="D345" s="198"/>
      <c r="E345" s="200">
        <f>Dat_02!C344</f>
        <v>172.89479393213193</v>
      </c>
      <c r="F345" s="200">
        <f>Dat_02!D344</f>
        <v>94.081084096418962</v>
      </c>
      <c r="G345" s="200">
        <f>Dat_02!E344</f>
        <v>94.081084096418962</v>
      </c>
      <c r="I345" s="201">
        <f>Dat_02!G344</f>
        <v>0</v>
      </c>
      <c r="J345" s="207" t="str">
        <f>IF(Dat_02!H344=0,"",Dat_02!H344)</f>
        <v/>
      </c>
    </row>
    <row r="346" spans="2:10">
      <c r="B346" s="198"/>
      <c r="C346" s="199">
        <f>Dat_02!B345</f>
        <v>45786</v>
      </c>
      <c r="D346" s="198"/>
      <c r="E346" s="200">
        <f>Dat_02!C345</f>
        <v>172.15956175713379</v>
      </c>
      <c r="F346" s="200">
        <f>Dat_02!D345</f>
        <v>94.081084096418962</v>
      </c>
      <c r="G346" s="200">
        <f>Dat_02!E345</f>
        <v>94.081084096418962</v>
      </c>
      <c r="I346" s="201">
        <f>Dat_02!G345</f>
        <v>0</v>
      </c>
      <c r="J346" s="207" t="str">
        <f>IF(Dat_02!H345=0,"",Dat_02!H345)</f>
        <v/>
      </c>
    </row>
    <row r="347" spans="2:10">
      <c r="B347" s="198"/>
      <c r="C347" s="199">
        <f>Dat_02!B346</f>
        <v>45787</v>
      </c>
      <c r="D347" s="198"/>
      <c r="E347" s="200">
        <f>Dat_02!C346</f>
        <v>137.88510202413005</v>
      </c>
      <c r="F347" s="200">
        <f>Dat_02!D346</f>
        <v>94.081084096418962</v>
      </c>
      <c r="G347" s="200">
        <f>Dat_02!E346</f>
        <v>94.081084096418962</v>
      </c>
      <c r="I347" s="201">
        <f>Dat_02!G346</f>
        <v>0</v>
      </c>
      <c r="J347" s="207" t="str">
        <f>IF(Dat_02!H346=0,"",Dat_02!H346)</f>
        <v/>
      </c>
    </row>
    <row r="348" spans="2:10">
      <c r="B348" s="198"/>
      <c r="C348" s="199">
        <f>Dat_02!B347</f>
        <v>45788</v>
      </c>
      <c r="D348" s="198"/>
      <c r="E348" s="200">
        <f>Dat_02!C347</f>
        <v>125.86709891913192</v>
      </c>
      <c r="F348" s="200">
        <f>Dat_02!D347</f>
        <v>94.081084096418962</v>
      </c>
      <c r="G348" s="200">
        <f>Dat_02!E347</f>
        <v>94.081084096418962</v>
      </c>
      <c r="I348" s="201">
        <f>Dat_02!G347</f>
        <v>0</v>
      </c>
      <c r="J348" s="207" t="str">
        <f>IF(Dat_02!H347=0,"",Dat_02!H347)</f>
        <v/>
      </c>
    </row>
    <row r="349" spans="2:10">
      <c r="B349" s="198"/>
      <c r="C349" s="199">
        <f>Dat_02!B348</f>
        <v>45789</v>
      </c>
      <c r="D349" s="198"/>
      <c r="E349" s="200">
        <f>Dat_02!C348</f>
        <v>153.68796154513379</v>
      </c>
      <c r="F349" s="200">
        <f>Dat_02!D348</f>
        <v>94.081084096418962</v>
      </c>
      <c r="G349" s="200">
        <f>Dat_02!E348</f>
        <v>94.081084096418962</v>
      </c>
      <c r="I349" s="201">
        <f>Dat_02!G348</f>
        <v>0</v>
      </c>
      <c r="J349" s="207" t="str">
        <f>IF(Dat_02!H348=0,"",Dat_02!H348)</f>
        <v/>
      </c>
    </row>
    <row r="350" spans="2:10">
      <c r="B350" s="198"/>
      <c r="C350" s="199">
        <f>Dat_02!B349</f>
        <v>45790</v>
      </c>
      <c r="D350" s="198"/>
      <c r="E350" s="200">
        <f>Dat_02!C349</f>
        <v>153.25641872713376</v>
      </c>
      <c r="F350" s="200">
        <f>Dat_02!D349</f>
        <v>94.081084096418962</v>
      </c>
      <c r="G350" s="200">
        <f>Dat_02!E349</f>
        <v>94.081084096418962</v>
      </c>
      <c r="I350" s="201">
        <f>Dat_02!G349</f>
        <v>0</v>
      </c>
      <c r="J350" s="207" t="str">
        <f>IF(Dat_02!H349=0,"",Dat_02!H349)</f>
        <v/>
      </c>
    </row>
    <row r="351" spans="2:10">
      <c r="B351" s="198"/>
      <c r="C351" s="199">
        <f>Dat_02!B350</f>
        <v>45791</v>
      </c>
      <c r="D351" s="198"/>
      <c r="E351" s="200">
        <f>Dat_02!C350</f>
        <v>161.97337265030592</v>
      </c>
      <c r="F351" s="200">
        <f>Dat_02!D350</f>
        <v>94.081084096418962</v>
      </c>
      <c r="G351" s="200">
        <f>Dat_02!E350</f>
        <v>94.081084096418962</v>
      </c>
      <c r="I351" s="201">
        <f>Dat_02!G350</f>
        <v>0</v>
      </c>
      <c r="J351" s="207" t="str">
        <f>IF(Dat_02!H350=0,"",Dat_02!H350)</f>
        <v/>
      </c>
    </row>
    <row r="352" spans="2:10">
      <c r="B352" s="198"/>
      <c r="C352" s="199">
        <f>Dat_02!B351</f>
        <v>45792</v>
      </c>
      <c r="D352" s="198"/>
      <c r="E352" s="200">
        <f>Dat_02!C351</f>
        <v>154.15687016230777</v>
      </c>
      <c r="F352" s="200">
        <f>Dat_02!D351</f>
        <v>94.081084096418962</v>
      </c>
      <c r="G352" s="200">
        <f>Dat_02!E351</f>
        <v>94.081084096418962</v>
      </c>
      <c r="I352" s="201">
        <f>Dat_02!G351</f>
        <v>0</v>
      </c>
      <c r="J352" s="207" t="str">
        <f>IF(Dat_02!H351=0,"",Dat_02!H351)</f>
        <v/>
      </c>
    </row>
    <row r="353" spans="2:10">
      <c r="B353" s="198"/>
      <c r="C353" s="199">
        <f>Dat_02!B352</f>
        <v>45793</v>
      </c>
      <c r="D353" s="198"/>
      <c r="E353" s="200">
        <f>Dat_02!C352</f>
        <v>146.52962114230962</v>
      </c>
      <c r="F353" s="200">
        <f>Dat_02!D352</f>
        <v>94.081084096418962</v>
      </c>
      <c r="G353" s="200">
        <f>Dat_02!E352</f>
        <v>94.081084096418962</v>
      </c>
      <c r="I353" s="201" t="str">
        <f>Dat_02!G352</f>
        <v/>
      </c>
      <c r="J353" s="207" t="str">
        <f>IF(Dat_02!H352=0,"",Dat_02!H352)</f>
        <v/>
      </c>
    </row>
    <row r="354" spans="2:10">
      <c r="B354" s="198"/>
      <c r="C354" s="199">
        <f>Dat_02!B353</f>
        <v>45794</v>
      </c>
      <c r="D354" s="198"/>
      <c r="E354" s="200">
        <f>Dat_02!C353</f>
        <v>148.86468384230778</v>
      </c>
      <c r="F354" s="200">
        <f>Dat_02!D353</f>
        <v>94.081084096418962</v>
      </c>
      <c r="G354" s="200">
        <f>Dat_02!E353</f>
        <v>94.081084096418962</v>
      </c>
      <c r="I354" s="201">
        <f>Dat_02!G353</f>
        <v>0</v>
      </c>
      <c r="J354" s="207" t="str">
        <f>IF(Dat_02!H353=0,"",Dat_02!H353)</f>
        <v/>
      </c>
    </row>
    <row r="355" spans="2:10">
      <c r="B355" s="198"/>
      <c r="C355" s="199">
        <f>Dat_02!B354</f>
        <v>45795</v>
      </c>
      <c r="D355" s="198"/>
      <c r="E355" s="200">
        <f>Dat_02!C354</f>
        <v>134.23938535830595</v>
      </c>
      <c r="F355" s="200">
        <f>Dat_02!D354</f>
        <v>94.081084096418962</v>
      </c>
      <c r="G355" s="200">
        <f>Dat_02!E354</f>
        <v>94.081084096418962</v>
      </c>
      <c r="I355" s="201">
        <f>Dat_02!G354</f>
        <v>0</v>
      </c>
      <c r="J355" s="207" t="str">
        <f>IF(Dat_02!H354=0,"",Dat_02!H354)</f>
        <v/>
      </c>
    </row>
    <row r="356" spans="2:10">
      <c r="B356" s="198"/>
      <c r="C356" s="199">
        <f>Dat_02!B355</f>
        <v>45796</v>
      </c>
      <c r="D356" s="198"/>
      <c r="E356" s="200">
        <f>Dat_02!C355</f>
        <v>141.02483698630778</v>
      </c>
      <c r="F356" s="200">
        <f>Dat_02!D355</f>
        <v>94.081084096418962</v>
      </c>
      <c r="G356" s="200">
        <f>Dat_02!E355</f>
        <v>94.081084096418962</v>
      </c>
      <c r="I356" s="201">
        <f>Dat_02!G355</f>
        <v>0</v>
      </c>
      <c r="J356" s="207" t="str">
        <f>IF(Dat_02!H355=0,"",Dat_02!H355)</f>
        <v/>
      </c>
    </row>
    <row r="357" spans="2:10">
      <c r="B357" s="198"/>
      <c r="C357" s="199">
        <f>Dat_02!B356</f>
        <v>45797</v>
      </c>
      <c r="D357" s="198"/>
      <c r="E357" s="200">
        <f>Dat_02!C356</f>
        <v>136.91390033430963</v>
      </c>
      <c r="F357" s="200">
        <f>Dat_02!D356</f>
        <v>94.081084096418962</v>
      </c>
      <c r="G357" s="200">
        <f>Dat_02!E356</f>
        <v>94.081084096418962</v>
      </c>
      <c r="I357" s="201">
        <f>Dat_02!G356</f>
        <v>0</v>
      </c>
      <c r="J357" s="207" t="str">
        <f>IF(Dat_02!H356=0,"",Dat_02!H356)</f>
        <v/>
      </c>
    </row>
    <row r="358" spans="2:10">
      <c r="B358" s="198"/>
      <c r="C358" s="199">
        <f>Dat_02!B357</f>
        <v>45798</v>
      </c>
      <c r="D358" s="198"/>
      <c r="E358" s="200">
        <f>Dat_02!C357</f>
        <v>138.83898796202365</v>
      </c>
      <c r="F358" s="200">
        <f>Dat_02!D357</f>
        <v>94.081084096418962</v>
      </c>
      <c r="G358" s="200">
        <f>Dat_02!E357</f>
        <v>94.081084096418962</v>
      </c>
      <c r="I358" s="201">
        <f>Dat_02!G357</f>
        <v>0</v>
      </c>
      <c r="J358" s="207" t="str">
        <f>IF(Dat_02!H357=0,"",Dat_02!H357)</f>
        <v/>
      </c>
    </row>
    <row r="359" spans="2:10">
      <c r="B359" s="198"/>
      <c r="C359" s="199">
        <f>Dat_02!B358</f>
        <v>45799</v>
      </c>
      <c r="D359" s="198"/>
      <c r="E359" s="200">
        <f>Dat_02!C358</f>
        <v>125.25768110602178</v>
      </c>
      <c r="F359" s="200">
        <f>Dat_02!D358</f>
        <v>94.081084096418962</v>
      </c>
      <c r="G359" s="200">
        <f>Dat_02!E358</f>
        <v>94.081084096418962</v>
      </c>
      <c r="I359" s="201">
        <f>Dat_02!G358</f>
        <v>0</v>
      </c>
      <c r="J359" s="207" t="str">
        <f>IF(Dat_02!H358=0,"",Dat_02!H358)</f>
        <v/>
      </c>
    </row>
    <row r="360" spans="2:10">
      <c r="B360" s="198"/>
      <c r="C360" s="199">
        <f>Dat_02!B359</f>
        <v>45800</v>
      </c>
      <c r="D360" s="198"/>
      <c r="E360" s="200">
        <f>Dat_02!C359</f>
        <v>115.27432162602364</v>
      </c>
      <c r="F360" s="200">
        <f>Dat_02!D359</f>
        <v>94.081084096418962</v>
      </c>
      <c r="G360" s="200">
        <f>Dat_02!E359</f>
        <v>94.081084096418962</v>
      </c>
      <c r="I360" s="201">
        <f>Dat_02!G359</f>
        <v>0</v>
      </c>
      <c r="J360" s="207" t="str">
        <f>IF(Dat_02!H359=0,"",Dat_02!H359)</f>
        <v/>
      </c>
    </row>
    <row r="361" spans="2:10">
      <c r="B361" s="198"/>
      <c r="C361" s="199">
        <f>Dat_02!B360</f>
        <v>45801</v>
      </c>
      <c r="D361" s="198"/>
      <c r="E361" s="200">
        <f>Dat_02!C360</f>
        <v>102.51996697402549</v>
      </c>
      <c r="F361" s="200">
        <f>Dat_02!D360</f>
        <v>94.081084096418962</v>
      </c>
      <c r="G361" s="200">
        <f>Dat_02!E360</f>
        <v>94.081084096418962</v>
      </c>
      <c r="I361" s="201">
        <f>Dat_02!G360</f>
        <v>0</v>
      </c>
      <c r="J361" s="207" t="str">
        <f>IF(Dat_02!H360=0,"",Dat_02!H360)</f>
        <v/>
      </c>
    </row>
    <row r="362" spans="2:10">
      <c r="B362" s="198"/>
      <c r="C362" s="199">
        <f>Dat_02!B361</f>
        <v>45802</v>
      </c>
      <c r="D362" s="198"/>
      <c r="E362" s="200">
        <f>Dat_02!C361</f>
        <v>89.845397242023637</v>
      </c>
      <c r="F362" s="200">
        <f>Dat_02!D361</f>
        <v>94.081084096418962</v>
      </c>
      <c r="G362" s="200">
        <f>Dat_02!E361</f>
        <v>89.845397242023637</v>
      </c>
      <c r="I362" s="201">
        <f>Dat_02!G361</f>
        <v>0</v>
      </c>
      <c r="J362" s="207" t="str">
        <f>IF(Dat_02!H361=0,"",Dat_02!H361)</f>
        <v/>
      </c>
    </row>
    <row r="363" spans="2:10">
      <c r="B363" s="198"/>
      <c r="C363" s="199">
        <f>Dat_02!B362</f>
        <v>45803</v>
      </c>
      <c r="D363" s="198"/>
      <c r="E363" s="200">
        <f>Dat_02!C362</f>
        <v>113.67867576602363</v>
      </c>
      <c r="F363" s="200">
        <f>Dat_02!D362</f>
        <v>94.081084096418962</v>
      </c>
      <c r="G363" s="200">
        <f>Dat_02!E362</f>
        <v>94.081084096418962</v>
      </c>
      <c r="I363" s="201">
        <f>Dat_02!G362</f>
        <v>0</v>
      </c>
      <c r="J363" s="207" t="str">
        <f>IF(Dat_02!H362=0,"",Dat_02!H362)</f>
        <v/>
      </c>
    </row>
    <row r="364" spans="2:10">
      <c r="B364" s="198"/>
      <c r="C364" s="199">
        <f>Dat_02!B363</f>
        <v>45804</v>
      </c>
      <c r="D364" s="198"/>
      <c r="E364" s="200">
        <f>Dat_02!C363</f>
        <v>108.40071203402363</v>
      </c>
      <c r="F364" s="200">
        <f>Dat_02!D363</f>
        <v>94.081084096418962</v>
      </c>
      <c r="G364" s="200">
        <f>Dat_02!E363</f>
        <v>94.081084096418962</v>
      </c>
      <c r="I364" s="201">
        <f>Dat_02!G363</f>
        <v>0</v>
      </c>
      <c r="J364" s="207" t="str">
        <f>IF(Dat_02!H363=0,"",Dat_02!H363)</f>
        <v/>
      </c>
    </row>
    <row r="365" spans="2:10">
      <c r="B365" s="198"/>
      <c r="C365" s="199">
        <f>Dat_02!B364</f>
        <v>45805</v>
      </c>
      <c r="D365" s="198"/>
      <c r="E365" s="200">
        <f>Dat_02!C364</f>
        <v>85.485480380966536</v>
      </c>
      <c r="F365" s="200">
        <f>Dat_02!D364</f>
        <v>94.081084096418962</v>
      </c>
      <c r="G365" s="200">
        <f>Dat_02!E364</f>
        <v>85.485480380966536</v>
      </c>
      <c r="I365" s="201">
        <f>Dat_02!G364</f>
        <v>0</v>
      </c>
      <c r="J365" s="207" t="str">
        <f>IF(Dat_02!H364=0,"",Dat_02!H364)</f>
        <v/>
      </c>
    </row>
    <row r="366" spans="2:10">
      <c r="B366" s="198"/>
      <c r="C366" s="199">
        <f>Dat_02!B365</f>
        <v>45806</v>
      </c>
      <c r="D366" s="198"/>
      <c r="E366" s="200">
        <f>Dat_02!C365</f>
        <v>83.162198856966526</v>
      </c>
      <c r="F366" s="200">
        <f>Dat_02!D365</f>
        <v>94.081084096418962</v>
      </c>
      <c r="G366" s="200">
        <f>Dat_02!E365</f>
        <v>83.162198856966526</v>
      </c>
      <c r="I366" s="201">
        <f>Dat_02!G365</f>
        <v>0</v>
      </c>
      <c r="J366" s="207" t="str">
        <f>IF(Dat_02!H365=0,"",Dat_02!H365)</f>
        <v/>
      </c>
    </row>
    <row r="367" spans="2:10">
      <c r="B367" s="198"/>
      <c r="C367" s="199">
        <f>Dat_02!B366</f>
        <v>45807</v>
      </c>
      <c r="D367" s="198"/>
      <c r="E367" s="200">
        <f>Dat_02!C366</f>
        <v>81.449369692968389</v>
      </c>
      <c r="F367" s="200">
        <f>Dat_02!D366</f>
        <v>94.081084096418962</v>
      </c>
      <c r="G367" s="200">
        <f>Dat_02!E366</f>
        <v>81.449369692968389</v>
      </c>
      <c r="I367" s="201">
        <f>Dat_02!G366</f>
        <v>0</v>
      </c>
      <c r="J367" s="207" t="str">
        <f>IF(Dat_02!H366=0,"",Dat_02!H366)</f>
        <v/>
      </c>
    </row>
    <row r="368" spans="2:10">
      <c r="B368" s="198"/>
      <c r="C368" s="199">
        <f>Dat_02!B367</f>
        <v>45808</v>
      </c>
      <c r="D368" s="198"/>
      <c r="E368" s="200">
        <f>Dat_02!C367</f>
        <v>67.543307356966523</v>
      </c>
      <c r="F368" s="200">
        <f>Dat_02!D367</f>
        <v>94.081084096418962</v>
      </c>
      <c r="G368" s="200">
        <f>Dat_02!E367</f>
        <v>67.543307356966523</v>
      </c>
      <c r="I368" s="201">
        <f>Dat_02!G367</f>
        <v>0</v>
      </c>
      <c r="J368" s="207" t="str">
        <f>IF(Dat_02!H367=0,"",Dat_02!H367)</f>
        <v/>
      </c>
    </row>
    <row r="369" spans="2:10">
      <c r="B369" s="198" t="s">
        <v>176</v>
      </c>
      <c r="C369" s="199">
        <f>Dat_02!B368</f>
        <v>45809</v>
      </c>
      <c r="D369" s="198"/>
      <c r="E369" s="200">
        <f>Dat_02!C368</f>
        <v>58.584965992964676</v>
      </c>
      <c r="F369" s="200">
        <f>Dat_02!D368</f>
        <v>61.406867513274626</v>
      </c>
      <c r="G369" s="200">
        <f>Dat_02!E368</f>
        <v>58.584965992964676</v>
      </c>
      <c r="I369" s="201">
        <f>Dat_02!G368</f>
        <v>0</v>
      </c>
      <c r="J369" s="207" t="str">
        <f>IF(Dat_02!H368=0,"",Dat_02!H368)</f>
        <v/>
      </c>
    </row>
    <row r="370" spans="2:10">
      <c r="B370" s="198"/>
      <c r="C370" s="199">
        <f>Dat_02!B369</f>
        <v>45810</v>
      </c>
      <c r="D370" s="198"/>
      <c r="E370" s="200">
        <f>Dat_02!C369</f>
        <v>68.591305628966523</v>
      </c>
      <c r="F370" s="200">
        <f>Dat_02!D369</f>
        <v>61.406867513274626</v>
      </c>
      <c r="G370" s="200">
        <f>Dat_02!E369</f>
        <v>61.406867513274626</v>
      </c>
      <c r="I370" s="201">
        <f>Dat_02!G369</f>
        <v>0</v>
      </c>
      <c r="J370" s="207" t="str">
        <f>IF(Dat_02!H369=0,"",Dat_02!H369)</f>
        <v/>
      </c>
    </row>
    <row r="371" spans="2:10">
      <c r="B371" s="198"/>
      <c r="C371" s="199">
        <f>Dat_02!B370</f>
        <v>45811</v>
      </c>
      <c r="D371" s="198"/>
      <c r="E371" s="200">
        <f>Dat_02!C370</f>
        <v>77.948868616968397</v>
      </c>
      <c r="F371" s="200">
        <f>Dat_02!D370</f>
        <v>61.406867513274626</v>
      </c>
      <c r="G371" s="200">
        <f>Dat_02!E370</f>
        <v>61.406867513274626</v>
      </c>
      <c r="I371" s="201">
        <f>Dat_02!G370</f>
        <v>0</v>
      </c>
      <c r="J371" s="207" t="str">
        <f>IF(Dat_02!H370=0,"",Dat_02!H370)</f>
        <v/>
      </c>
    </row>
    <row r="372" spans="2:10">
      <c r="B372" s="198"/>
      <c r="C372" s="199">
        <f>Dat_02!B371</f>
        <v>45812</v>
      </c>
      <c r="D372" s="198"/>
      <c r="E372" s="200">
        <f>Dat_02!C371</f>
        <v>81.663379388919736</v>
      </c>
      <c r="F372" s="200">
        <f>Dat_02!D371</f>
        <v>61.406867513274626</v>
      </c>
      <c r="G372" s="200">
        <f>Dat_02!E371</f>
        <v>61.406867513274626</v>
      </c>
      <c r="I372" s="201">
        <f>Dat_02!G371</f>
        <v>0</v>
      </c>
      <c r="J372" s="207" t="str">
        <f>IF(Dat_02!H371=0,"",Dat_02!H371)</f>
        <v/>
      </c>
    </row>
    <row r="373" spans="2:10">
      <c r="B373" s="198"/>
      <c r="C373" s="199">
        <f>Dat_02!B372</f>
        <v>45813</v>
      </c>
      <c r="D373" s="198"/>
      <c r="E373" s="200">
        <f>Dat_02!C372</f>
        <v>71.515156384919734</v>
      </c>
      <c r="F373" s="200">
        <f>Dat_02!D372</f>
        <v>61.406867513274626</v>
      </c>
      <c r="G373" s="200">
        <f>Dat_02!E372</f>
        <v>61.406867513274626</v>
      </c>
      <c r="I373" s="201">
        <f>Dat_02!G372</f>
        <v>0</v>
      </c>
      <c r="J373" s="207" t="str">
        <f>IF(Dat_02!H372=0,"",Dat_02!H372)</f>
        <v/>
      </c>
    </row>
    <row r="374" spans="2:10">
      <c r="B374" s="198"/>
      <c r="C374" s="199">
        <f>Dat_02!B373</f>
        <v>45814</v>
      </c>
      <c r="D374" s="198"/>
      <c r="E374" s="200">
        <f>Dat_02!C373</f>
        <v>77.416969172919735</v>
      </c>
      <c r="F374" s="200">
        <f>Dat_02!D373</f>
        <v>61.406867513274626</v>
      </c>
      <c r="G374" s="200">
        <f>Dat_02!E373</f>
        <v>61.406867513274626</v>
      </c>
      <c r="I374" s="201">
        <f>Dat_02!G373</f>
        <v>0</v>
      </c>
      <c r="J374" s="207" t="str">
        <f>IF(Dat_02!H373=0,"",Dat_02!H373)</f>
        <v/>
      </c>
    </row>
    <row r="375" spans="2:10">
      <c r="B375" s="198"/>
      <c r="C375" s="199">
        <f>Dat_02!B374</f>
        <v>45815</v>
      </c>
      <c r="D375" s="198"/>
      <c r="E375" s="200">
        <f>Dat_02!C374</f>
        <v>59.671351156917879</v>
      </c>
      <c r="F375" s="200">
        <f>Dat_02!D374</f>
        <v>61.406867513274626</v>
      </c>
      <c r="G375" s="200">
        <f>Dat_02!E374</f>
        <v>59.671351156917879</v>
      </c>
      <c r="I375" s="201">
        <f>Dat_02!G374</f>
        <v>0</v>
      </c>
      <c r="J375" s="207" t="str">
        <f>IF(Dat_02!H374=0,"",Dat_02!H374)</f>
        <v/>
      </c>
    </row>
    <row r="376" spans="2:10">
      <c r="B376" s="198"/>
      <c r="C376" s="199">
        <f>Dat_02!B375</f>
        <v>45816</v>
      </c>
      <c r="D376" s="198"/>
      <c r="E376" s="200">
        <f>Dat_02!C375</f>
        <v>45.392203304921601</v>
      </c>
      <c r="F376" s="200">
        <f>Dat_02!D375</f>
        <v>61.406867513274626</v>
      </c>
      <c r="G376" s="200">
        <f>Dat_02!E375</f>
        <v>45.392203304921601</v>
      </c>
      <c r="I376" s="201">
        <f>Dat_02!G375</f>
        <v>0</v>
      </c>
      <c r="J376" s="207" t="str">
        <f>IF(Dat_02!H375=0,"",Dat_02!H375)</f>
        <v/>
      </c>
    </row>
    <row r="377" spans="2:10">
      <c r="B377" s="198"/>
      <c r="C377" s="199">
        <f>Dat_02!B376</f>
        <v>45817</v>
      </c>
      <c r="D377" s="198"/>
      <c r="E377" s="200">
        <f>Dat_02!C376</f>
        <v>71.85252705291974</v>
      </c>
      <c r="F377" s="200">
        <f>Dat_02!D376</f>
        <v>61.406867513274626</v>
      </c>
      <c r="G377" s="200">
        <f>Dat_02!E376</f>
        <v>61.406867513274626</v>
      </c>
      <c r="I377" s="201">
        <f>Dat_02!G376</f>
        <v>0</v>
      </c>
      <c r="J377" s="207" t="str">
        <f>IF(Dat_02!H376=0,"",Dat_02!H376)</f>
        <v/>
      </c>
    </row>
    <row r="378" spans="2:10">
      <c r="B378" s="198"/>
      <c r="C378" s="199">
        <f>Dat_02!B377</f>
        <v>45818</v>
      </c>
      <c r="D378" s="198"/>
      <c r="E378" s="200">
        <f>Dat_02!C377</f>
        <v>94.934340192919748</v>
      </c>
      <c r="F378" s="200">
        <f>Dat_02!D377</f>
        <v>61.406867513274626</v>
      </c>
      <c r="G378" s="200">
        <f>Dat_02!E377</f>
        <v>61.406867513274626</v>
      </c>
      <c r="I378" s="201">
        <f>Dat_02!G377</f>
        <v>0</v>
      </c>
      <c r="J378" s="207" t="str">
        <f>IF(Dat_02!H377=0,"",Dat_02!H377)</f>
        <v/>
      </c>
    </row>
    <row r="379" spans="2:10">
      <c r="B379" s="198"/>
      <c r="C379" s="199">
        <f>Dat_02!B378</f>
        <v>45819</v>
      </c>
      <c r="D379" s="198"/>
      <c r="E379" s="200">
        <f>Dat_02!C378</f>
        <v>57.290058085395692</v>
      </c>
      <c r="F379" s="200">
        <f>Dat_02!D378</f>
        <v>61.406867513274626</v>
      </c>
      <c r="G379" s="200">
        <f>Dat_02!E378</f>
        <v>57.290058085395692</v>
      </c>
      <c r="I379" s="201">
        <f>Dat_02!G378</f>
        <v>0</v>
      </c>
      <c r="J379" s="207" t="str">
        <f>IF(Dat_02!H378=0,"",Dat_02!H378)</f>
        <v/>
      </c>
    </row>
    <row r="380" spans="2:10">
      <c r="B380" s="198"/>
      <c r="C380" s="199">
        <f>Dat_02!B379</f>
        <v>45820</v>
      </c>
      <c r="D380" s="198"/>
      <c r="E380" s="200">
        <f>Dat_02!C379</f>
        <v>55.354960405397549</v>
      </c>
      <c r="F380" s="200">
        <f>Dat_02!D379</f>
        <v>61.406867513274626</v>
      </c>
      <c r="G380" s="200">
        <f>Dat_02!E379</f>
        <v>55.354960405397549</v>
      </c>
      <c r="I380" s="201">
        <f>Dat_02!G379</f>
        <v>0</v>
      </c>
      <c r="J380" s="207" t="str">
        <f>IF(Dat_02!H379=0,"",Dat_02!H379)</f>
        <v/>
      </c>
    </row>
    <row r="381" spans="2:10">
      <c r="B381" s="198"/>
      <c r="C381" s="199">
        <f>Dat_02!B380</f>
        <v>45821</v>
      </c>
      <c r="D381" s="198"/>
      <c r="E381" s="200">
        <f>Dat_02!C380</f>
        <v>57.648457809397556</v>
      </c>
      <c r="F381" s="200">
        <f>Dat_02!D380</f>
        <v>61.406867513274626</v>
      </c>
      <c r="G381" s="200">
        <f>Dat_02!E380</f>
        <v>57.648457809397556</v>
      </c>
      <c r="I381" s="201">
        <f>Dat_02!G380</f>
        <v>0</v>
      </c>
      <c r="J381" s="207" t="str">
        <f>IF(Dat_02!H380=0,"",Dat_02!H380)</f>
        <v/>
      </c>
    </row>
    <row r="382" spans="2:10">
      <c r="B382" s="198"/>
      <c r="C382" s="199">
        <f>Dat_02!B381</f>
        <v>45822</v>
      </c>
      <c r="D382" s="198"/>
      <c r="E382" s="200">
        <f>Dat_02!C381</f>
        <v>35.976587393397551</v>
      </c>
      <c r="F382" s="200">
        <f>Dat_02!D381</f>
        <v>61.406867513274626</v>
      </c>
      <c r="G382" s="200">
        <f>Dat_02!E381</f>
        <v>35.976587393397551</v>
      </c>
      <c r="I382" s="201">
        <f>Dat_02!G381</f>
        <v>0</v>
      </c>
      <c r="J382" s="207" t="str">
        <f>IF(Dat_02!H381=0,"",Dat_02!H381)</f>
        <v/>
      </c>
    </row>
    <row r="383" spans="2:10">
      <c r="B383" s="198"/>
      <c r="C383" s="199">
        <f>Dat_02!B382</f>
        <v>45823</v>
      </c>
      <c r="D383" s="198"/>
      <c r="E383" s="200">
        <f>Dat_02!C382</f>
        <v>27.093917057395686</v>
      </c>
      <c r="F383" s="200">
        <f>Dat_02!D382</f>
        <v>61.406867513274626</v>
      </c>
      <c r="G383" s="200">
        <f>Dat_02!E382</f>
        <v>27.093917057395686</v>
      </c>
      <c r="I383" s="201">
        <f>Dat_02!G382</f>
        <v>0</v>
      </c>
      <c r="J383" s="207" t="str">
        <f>IF(Dat_02!H382=0,"",Dat_02!H382)</f>
        <v/>
      </c>
    </row>
    <row r="384" spans="2:10">
      <c r="B384" s="198"/>
      <c r="C384" s="199">
        <f>Dat_02!B383</f>
        <v>45824</v>
      </c>
      <c r="D384" s="198"/>
      <c r="E384" s="200">
        <f>Dat_02!C383</f>
        <v>41.648771953399418</v>
      </c>
      <c r="F384" s="200">
        <f>Dat_02!D383</f>
        <v>61.406867513274626</v>
      </c>
      <c r="G384" s="200">
        <f>Dat_02!E383</f>
        <v>41.648771953399418</v>
      </c>
      <c r="I384" s="201" t="str">
        <f>Dat_02!G383</f>
        <v/>
      </c>
      <c r="J384" s="207" t="str">
        <f>IF(Dat_02!H383=0,"",Dat_02!H383)</f>
        <v/>
      </c>
    </row>
    <row r="385" spans="2:10">
      <c r="B385" s="198"/>
      <c r="C385" s="199">
        <f>Dat_02!B384</f>
        <v>45825</v>
      </c>
      <c r="D385" s="198"/>
      <c r="E385" s="200">
        <f>Dat_02!C384</f>
        <v>66.75141773339756</v>
      </c>
      <c r="F385" s="200">
        <f>Dat_02!D384</f>
        <v>61.406867513274626</v>
      </c>
      <c r="G385" s="200">
        <f>Dat_02!E384</f>
        <v>61.406867513274626</v>
      </c>
      <c r="I385" s="201">
        <f>Dat_02!G384</f>
        <v>0</v>
      </c>
      <c r="J385" s="207" t="str">
        <f>IF(Dat_02!H384=0,"",Dat_02!H384)</f>
        <v/>
      </c>
    </row>
    <row r="386" spans="2:10">
      <c r="B386" s="198"/>
      <c r="C386" s="199">
        <f>Dat_02!B385</f>
        <v>45826</v>
      </c>
      <c r="D386" s="198"/>
      <c r="E386" s="200">
        <f>Dat_02!C385</f>
        <v>54.810603226402399</v>
      </c>
      <c r="F386" s="200">
        <f>Dat_02!D385</f>
        <v>61.406867513274626</v>
      </c>
      <c r="G386" s="200">
        <f>Dat_02!E385</f>
        <v>54.810603226402399</v>
      </c>
      <c r="I386" s="201">
        <f>Dat_02!G385</f>
        <v>0</v>
      </c>
      <c r="J386" s="207" t="str">
        <f>IF(Dat_02!H385=0,"",Dat_02!H385)</f>
        <v/>
      </c>
    </row>
    <row r="387" spans="2:10">
      <c r="B387" s="198"/>
      <c r="C387" s="199">
        <f>Dat_02!B386</f>
        <v>45827</v>
      </c>
      <c r="D387" s="198"/>
      <c r="E387" s="200">
        <f>Dat_02!C386</f>
        <v>56.724506154402391</v>
      </c>
      <c r="F387" s="200">
        <f>Dat_02!D386</f>
        <v>61.406867513274626</v>
      </c>
      <c r="G387" s="200">
        <f>Dat_02!E386</f>
        <v>56.724506154402391</v>
      </c>
      <c r="I387" s="201">
        <f>Dat_02!G386</f>
        <v>0</v>
      </c>
      <c r="J387" s="207" t="str">
        <f>IF(Dat_02!H386=0,"",Dat_02!H386)</f>
        <v/>
      </c>
    </row>
    <row r="388" spans="2:10">
      <c r="B388" s="198"/>
      <c r="C388" s="199">
        <f>Dat_02!B387</f>
        <v>45828</v>
      </c>
      <c r="D388" s="198"/>
      <c r="E388" s="200">
        <f>Dat_02!C387</f>
        <v>50.758680274402401</v>
      </c>
      <c r="F388" s="200">
        <f>Dat_02!D387</f>
        <v>61.406867513274626</v>
      </c>
      <c r="G388" s="200">
        <f>Dat_02!E387</f>
        <v>50.758680274402401</v>
      </c>
      <c r="I388" s="201">
        <f>Dat_02!G387</f>
        <v>0</v>
      </c>
      <c r="J388" s="207" t="str">
        <f>IF(Dat_02!H387=0,"",Dat_02!H387)</f>
        <v/>
      </c>
    </row>
    <row r="389" spans="2:10">
      <c r="B389" s="198"/>
      <c r="C389" s="199">
        <f>Dat_02!B388</f>
        <v>45829</v>
      </c>
      <c r="D389" s="198"/>
      <c r="E389" s="200">
        <f>Dat_02!C388</f>
        <v>27.241844526407977</v>
      </c>
      <c r="F389" s="200">
        <f>Dat_02!D388</f>
        <v>61.406867513274626</v>
      </c>
      <c r="G389" s="200">
        <f>Dat_02!E388</f>
        <v>27.241844526407977</v>
      </c>
      <c r="I389" s="201">
        <f>Dat_02!G388</f>
        <v>0</v>
      </c>
      <c r="J389" s="207" t="str">
        <f>IF(Dat_02!H388=0,"",Dat_02!H388)</f>
        <v/>
      </c>
    </row>
    <row r="390" spans="2:10">
      <c r="B390" s="198"/>
      <c r="C390" s="199">
        <f>Dat_02!B389</f>
        <v>45830</v>
      </c>
      <c r="D390" s="198"/>
      <c r="E390" s="200">
        <f>Dat_02!C389</f>
        <v>15.417510526402395</v>
      </c>
      <c r="F390" s="200">
        <f>Dat_02!D389</f>
        <v>61.406867513274626</v>
      </c>
      <c r="G390" s="200">
        <f>Dat_02!E389</f>
        <v>15.417510526402395</v>
      </c>
      <c r="I390" s="201">
        <f>Dat_02!G389</f>
        <v>0</v>
      </c>
      <c r="J390" s="207" t="str">
        <f>IF(Dat_02!H389=0,"",Dat_02!H389)</f>
        <v/>
      </c>
    </row>
    <row r="391" spans="2:10">
      <c r="B391" s="198"/>
      <c r="C391" s="199">
        <f>Dat_02!B390</f>
        <v>45831</v>
      </c>
      <c r="D391" s="198"/>
      <c r="E391" s="200">
        <f>Dat_02!C390</f>
        <v>33.067196998404263</v>
      </c>
      <c r="F391" s="200">
        <f>Dat_02!D390</f>
        <v>61.406867513274626</v>
      </c>
      <c r="G391" s="200">
        <f>Dat_02!E390</f>
        <v>33.067196998404263</v>
      </c>
      <c r="I391" s="201">
        <f>Dat_02!G390</f>
        <v>0</v>
      </c>
      <c r="J391" s="207" t="str">
        <f>IF(Dat_02!H390=0,"",Dat_02!H390)</f>
        <v/>
      </c>
    </row>
    <row r="392" spans="2:10">
      <c r="B392" s="198"/>
      <c r="C392" s="199">
        <f>Dat_02!B391</f>
        <v>45832</v>
      </c>
      <c r="D392" s="198"/>
      <c r="E392" s="200">
        <f>Dat_02!C391</f>
        <v>31.891179734404258</v>
      </c>
      <c r="F392" s="200">
        <f>Dat_02!D391</f>
        <v>61.406867513274626</v>
      </c>
      <c r="G392" s="200">
        <f>Dat_02!E391</f>
        <v>31.891179734404258</v>
      </c>
      <c r="I392" s="201">
        <f>Dat_02!G391</f>
        <v>0</v>
      </c>
      <c r="J392" s="207" t="str">
        <f>IF(Dat_02!H391=0,"",Dat_02!H391)</f>
        <v/>
      </c>
    </row>
    <row r="393" spans="2:10">
      <c r="B393" s="198"/>
      <c r="C393" s="199">
        <f>Dat_02!B392</f>
        <v>45833</v>
      </c>
      <c r="D393" s="198"/>
      <c r="E393" s="200">
        <f>Dat_02!C392</f>
        <v>36.028818452584453</v>
      </c>
      <c r="F393" s="200">
        <f>Dat_02!D392</f>
        <v>61.406867513274626</v>
      </c>
      <c r="G393" s="200">
        <f>Dat_02!E392</f>
        <v>36.028818452584453</v>
      </c>
      <c r="I393" s="201">
        <f>Dat_02!G392</f>
        <v>0</v>
      </c>
      <c r="J393" s="207" t="str">
        <f>IF(Dat_02!H392=0,"",Dat_02!H392)</f>
        <v/>
      </c>
    </row>
    <row r="394" spans="2:10">
      <c r="B394" s="198"/>
      <c r="C394" s="199">
        <f>Dat_02!B393</f>
        <v>45834</v>
      </c>
      <c r="D394" s="198"/>
      <c r="E394" s="200">
        <f>Dat_02!C393</f>
        <v>34.198682324582592</v>
      </c>
      <c r="F394" s="200">
        <f>Dat_02!D393</f>
        <v>61.406867513274626</v>
      </c>
      <c r="G394" s="200">
        <f>Dat_02!E393</f>
        <v>34.198682324582592</v>
      </c>
      <c r="I394" s="201">
        <f>Dat_02!G393</f>
        <v>0</v>
      </c>
      <c r="J394" s="207" t="str">
        <f>IF(Dat_02!H393=0,"",Dat_02!H393)</f>
        <v/>
      </c>
    </row>
    <row r="395" spans="2:10">
      <c r="B395" s="198"/>
      <c r="C395" s="199">
        <f>Dat_02!B394</f>
        <v>45835</v>
      </c>
      <c r="D395" s="198"/>
      <c r="E395" s="200">
        <f>Dat_02!C394</f>
        <v>46.57227909658446</v>
      </c>
      <c r="F395" s="200">
        <f>Dat_02!D394</f>
        <v>61.406867513274626</v>
      </c>
      <c r="G395" s="200">
        <f>Dat_02!E394</f>
        <v>46.57227909658446</v>
      </c>
      <c r="I395" s="201">
        <f>Dat_02!G394</f>
        <v>0</v>
      </c>
      <c r="J395" s="207" t="str">
        <f>IF(Dat_02!H394=0,"",Dat_02!H394)</f>
        <v/>
      </c>
    </row>
    <row r="396" spans="2:10">
      <c r="B396" s="198"/>
      <c r="C396" s="199">
        <f>Dat_02!B395</f>
        <v>45836</v>
      </c>
      <c r="D396" s="198"/>
      <c r="E396" s="200">
        <f>Dat_02!C395</f>
        <v>25.679008728584463</v>
      </c>
      <c r="F396" s="200">
        <f>Dat_02!D395</f>
        <v>61.406867513274626</v>
      </c>
      <c r="G396" s="200">
        <f>Dat_02!E395</f>
        <v>25.679008728584463</v>
      </c>
      <c r="I396" s="201">
        <f>Dat_02!G395</f>
        <v>0</v>
      </c>
      <c r="J396" s="207" t="str">
        <f>IF(Dat_02!H395=0,"",Dat_02!H395)</f>
        <v/>
      </c>
    </row>
    <row r="397" spans="2:10">
      <c r="B397" s="198"/>
      <c r="C397" s="199">
        <f>Dat_02!B396</f>
        <v>45837</v>
      </c>
      <c r="D397" s="198"/>
      <c r="E397" s="200">
        <f>Dat_02!C396</f>
        <v>21.31743945258259</v>
      </c>
      <c r="F397" s="200">
        <f>Dat_02!D396</f>
        <v>61.406867513274626</v>
      </c>
      <c r="G397" s="200">
        <f>Dat_02!E396</f>
        <v>21.31743945258259</v>
      </c>
      <c r="I397" s="201">
        <f>Dat_02!G396</f>
        <v>0</v>
      </c>
      <c r="J397" s="207" t="str">
        <f>IF(Dat_02!H396=0,"",Dat_02!H396)</f>
        <v/>
      </c>
    </row>
    <row r="398" spans="2:10">
      <c r="B398" s="198"/>
      <c r="C398" s="199">
        <f>Dat_02!B397</f>
        <v>45838</v>
      </c>
      <c r="D398" s="198"/>
      <c r="E398" s="200">
        <f>Dat_02!C397</f>
        <v>52.807168008584455</v>
      </c>
      <c r="F398" s="200">
        <f>Dat_02!D397</f>
        <v>61.406867513274626</v>
      </c>
      <c r="G398" s="200">
        <f>Dat_02!E397</f>
        <v>52.807168008584455</v>
      </c>
      <c r="I398" s="201">
        <f>Dat_02!G397</f>
        <v>0</v>
      </c>
      <c r="J398" s="207" t="str">
        <f>IF(Dat_02!H397=0,"",Dat_02!H397)</f>
        <v/>
      </c>
    </row>
    <row r="399" spans="2:10">
      <c r="B399" s="198"/>
      <c r="C399" s="199">
        <f>Dat_02!B398</f>
        <v>45839</v>
      </c>
      <c r="D399" s="198"/>
      <c r="E399" s="200">
        <f>Dat_02!C398</f>
        <v>32.594394492584456</v>
      </c>
      <c r="F399" s="200">
        <f>Dat_02!D398</f>
        <v>25.377234765527756</v>
      </c>
      <c r="G399" s="200">
        <f>Dat_02!E398</f>
        <v>25.377234765527756</v>
      </c>
      <c r="I399" s="201">
        <f>Dat_02!G398</f>
        <v>0</v>
      </c>
      <c r="J399" s="207"/>
    </row>
    <row r="400" spans="2:10">
      <c r="B400" s="198"/>
      <c r="C400" s="199">
        <f>Dat_02!B399</f>
        <v>45840</v>
      </c>
      <c r="D400" s="198"/>
      <c r="E400" s="200">
        <f>Dat_02!C399</f>
        <v>33.795347920549148</v>
      </c>
      <c r="F400" s="200">
        <f>Dat_02!D399</f>
        <v>25.377234765527756</v>
      </c>
      <c r="G400" s="200">
        <f>Dat_02!E399</f>
        <v>25.377234765527756</v>
      </c>
      <c r="I400" s="201">
        <f>Dat_02!G399</f>
        <v>0</v>
      </c>
      <c r="J400" s="207"/>
    </row>
    <row r="401" spans="2:10">
      <c r="B401" s="198"/>
      <c r="C401" s="199">
        <f>Dat_02!B400</f>
        <v>45841</v>
      </c>
      <c r="D401" s="198"/>
      <c r="E401" s="200">
        <f>Dat_02!C400</f>
        <v>29.662597448547285</v>
      </c>
      <c r="F401" s="200">
        <f>Dat_02!D400</f>
        <v>25.377234765527756</v>
      </c>
      <c r="G401" s="200">
        <f>Dat_02!E400</f>
        <v>25.377234765527756</v>
      </c>
      <c r="I401" s="201">
        <f>Dat_02!G400</f>
        <v>0</v>
      </c>
      <c r="J401" s="207"/>
    </row>
    <row r="402" spans="2:10">
      <c r="B402" s="198"/>
      <c r="C402" s="199">
        <f>Dat_02!B401</f>
        <v>45842</v>
      </c>
      <c r="D402" s="198"/>
      <c r="E402" s="200">
        <f>Dat_02!C401</f>
        <v>27.616604840551009</v>
      </c>
      <c r="F402" s="200">
        <f>Dat_02!D401</f>
        <v>25.377234765527756</v>
      </c>
      <c r="G402" s="200">
        <f>Dat_02!E401</f>
        <v>25.377234765527756</v>
      </c>
      <c r="I402" s="201">
        <f>Dat_02!G401</f>
        <v>0</v>
      </c>
      <c r="J402" s="207"/>
    </row>
    <row r="403" spans="2:10">
      <c r="B403" s="198"/>
      <c r="C403" s="199">
        <f>Dat_02!B402</f>
        <v>45843</v>
      </c>
      <c r="D403" s="198"/>
      <c r="E403" s="200">
        <f>Dat_02!C402</f>
        <v>13.132768220543548</v>
      </c>
      <c r="F403" s="200">
        <f>Dat_02!D402</f>
        <v>25.377234765527756</v>
      </c>
      <c r="G403" s="200">
        <f>Dat_02!E402</f>
        <v>13.132768220543548</v>
      </c>
      <c r="I403" s="201">
        <f>Dat_02!G402</f>
        <v>0</v>
      </c>
      <c r="J403" s="207"/>
    </row>
    <row r="404" spans="2:10">
      <c r="B404" s="198"/>
      <c r="C404" s="199">
        <f>Dat_02!B403</f>
        <v>45844</v>
      </c>
      <c r="D404" s="198"/>
      <c r="E404" s="200">
        <f>Dat_02!C403</f>
        <v>0.74587613655099994</v>
      </c>
      <c r="F404" s="200">
        <f>Dat_02!D403</f>
        <v>25.377234765527756</v>
      </c>
      <c r="G404" s="200">
        <f>Dat_02!E403</f>
        <v>0.74587613655099994</v>
      </c>
      <c r="I404" s="201">
        <f>Dat_02!G403</f>
        <v>0</v>
      </c>
      <c r="J404" s="207"/>
    </row>
    <row r="405" spans="2:10">
      <c r="B405" s="198"/>
      <c r="C405" s="199">
        <f>Dat_02!B404</f>
        <v>45845</v>
      </c>
      <c r="D405" s="198"/>
      <c r="E405" s="200">
        <f>Dat_02!C404</f>
        <v>0.87838982854913772</v>
      </c>
      <c r="F405" s="200">
        <f>Dat_02!D404</f>
        <v>25.377234765527756</v>
      </c>
      <c r="G405" s="200">
        <f>Dat_02!E404</f>
        <v>0.87838982854913772</v>
      </c>
      <c r="I405" s="201">
        <f>Dat_02!G404</f>
        <v>0</v>
      </c>
      <c r="J405" s="207"/>
    </row>
    <row r="406" spans="2:10">
      <c r="B406" s="198"/>
      <c r="C406" s="199">
        <f>Dat_02!B405</f>
        <v>45846</v>
      </c>
      <c r="D406" s="198"/>
      <c r="E406" s="200">
        <f>Dat_02!C405</f>
        <v>1.2669650485472739</v>
      </c>
      <c r="F406" s="200">
        <f>Dat_02!D405</f>
        <v>25.377234765527756</v>
      </c>
      <c r="G406" s="200">
        <f>Dat_02!E405</f>
        <v>1.2669650485472739</v>
      </c>
      <c r="I406" s="201">
        <f>Dat_02!G405</f>
        <v>0</v>
      </c>
      <c r="J406" s="207"/>
    </row>
    <row r="407" spans="2:10">
      <c r="B407" s="198"/>
      <c r="C407" s="199">
        <f>Dat_02!B406</f>
        <v>45847</v>
      </c>
      <c r="D407" s="198"/>
      <c r="E407" s="200">
        <f>Dat_02!C406</f>
        <v>12.98326255205537</v>
      </c>
      <c r="F407" s="200">
        <f>Dat_02!D406</f>
        <v>25.377234765527756</v>
      </c>
      <c r="G407" s="200">
        <f>Dat_02!E406</f>
        <v>12.98326255205537</v>
      </c>
      <c r="I407" s="201">
        <f>Dat_02!G406</f>
        <v>0</v>
      </c>
      <c r="J407" s="207"/>
    </row>
    <row r="408" spans="2:10">
      <c r="B408" s="198"/>
      <c r="C408" s="199">
        <f>Dat_02!B407</f>
        <v>45848</v>
      </c>
      <c r="D408" s="198"/>
      <c r="E408" s="200">
        <f>Dat_02!C407</f>
        <v>33.065893648055365</v>
      </c>
      <c r="F408" s="200">
        <f>Dat_02!D407</f>
        <v>25.377234765527756</v>
      </c>
      <c r="G408" s="200">
        <f>Dat_02!E407</f>
        <v>25.377234765527756</v>
      </c>
      <c r="I408" s="201">
        <f>Dat_02!G407</f>
        <v>0</v>
      </c>
      <c r="J408" s="207"/>
    </row>
    <row r="409" spans="2:10">
      <c r="B409" s="198"/>
      <c r="C409" s="199">
        <f>Dat_02!B408</f>
        <v>45849</v>
      </c>
      <c r="D409" s="198"/>
      <c r="E409" s="200">
        <f>Dat_02!C408</f>
        <v>27.461339548053513</v>
      </c>
      <c r="F409" s="200">
        <f>Dat_02!D408</f>
        <v>25.377234765527756</v>
      </c>
      <c r="G409" s="200">
        <f>Dat_02!E408</f>
        <v>25.377234765527756</v>
      </c>
      <c r="I409" s="201">
        <f>Dat_02!G408</f>
        <v>0</v>
      </c>
      <c r="J409" s="207"/>
    </row>
    <row r="410" spans="2:10">
      <c r="B410" s="198"/>
      <c r="C410" s="199">
        <f>Dat_02!B409</f>
        <v>45850</v>
      </c>
      <c r="D410" s="198"/>
      <c r="E410" s="200">
        <f>Dat_02!C409</f>
        <v>19.045507852053504</v>
      </c>
      <c r="F410" s="200">
        <f>Dat_02!D409</f>
        <v>25.377234765527756</v>
      </c>
      <c r="G410" s="200">
        <f>Dat_02!E409</f>
        <v>19.045507852053504</v>
      </c>
      <c r="I410" s="201">
        <f>Dat_02!G409</f>
        <v>0</v>
      </c>
      <c r="J410" s="207"/>
    </row>
    <row r="411" spans="2:10">
      <c r="B411" s="198"/>
      <c r="C411" s="199">
        <f>Dat_02!B410</f>
        <v>45851</v>
      </c>
      <c r="D411" s="198"/>
      <c r="E411" s="200">
        <f>Dat_02!C410</f>
        <v>5.264734244057232</v>
      </c>
      <c r="F411" s="200">
        <f>Dat_02!D410</f>
        <v>25.377234765527756</v>
      </c>
      <c r="G411" s="200">
        <f>Dat_02!E410</f>
        <v>5.264734244057232</v>
      </c>
      <c r="I411" s="201">
        <f>Dat_02!G410</f>
        <v>0</v>
      </c>
      <c r="J411" s="207"/>
    </row>
    <row r="412" spans="2:10">
      <c r="B412" s="198"/>
      <c r="C412" s="199">
        <f>Dat_02!B411</f>
        <v>45852</v>
      </c>
      <c r="D412" s="198"/>
      <c r="E412" s="200">
        <f>Dat_02!C411</f>
        <v>14.93768034805351</v>
      </c>
      <c r="F412" s="200">
        <f>Dat_02!D411</f>
        <v>25.377234765527756</v>
      </c>
      <c r="G412" s="200">
        <f>Dat_02!E411</f>
        <v>14.93768034805351</v>
      </c>
      <c r="I412" s="201">
        <f>Dat_02!G411</f>
        <v>0</v>
      </c>
      <c r="J412" s="207"/>
    </row>
    <row r="413" spans="2:10">
      <c r="B413" s="198"/>
      <c r="C413" s="199">
        <f>Dat_02!B412</f>
        <v>45853</v>
      </c>
      <c r="D413" s="198"/>
      <c r="E413" s="200">
        <f>Dat_02!C412</f>
        <v>15.42803286805351</v>
      </c>
      <c r="F413" s="200">
        <f>Dat_02!D412</f>
        <v>25.377234765527756</v>
      </c>
      <c r="G413" s="200">
        <f>Dat_02!E412</f>
        <v>15.42803286805351</v>
      </c>
      <c r="I413" s="201">
        <f>Dat_02!G412</f>
        <v>0</v>
      </c>
      <c r="J413" s="207"/>
    </row>
    <row r="414" spans="2:10">
      <c r="B414" s="198"/>
      <c r="C414" s="199">
        <f>Dat_02!B413</f>
        <v>45854</v>
      </c>
      <c r="D414" s="198"/>
      <c r="E414" s="200">
        <f>Dat_02!C413</f>
        <v>21.208092095159067</v>
      </c>
      <c r="F414" s="200">
        <f>Dat_02!D413</f>
        <v>25.377234765527756</v>
      </c>
      <c r="G414" s="200">
        <f>Dat_02!E413</f>
        <v>21.208092095159067</v>
      </c>
      <c r="I414" s="201">
        <f>Dat_02!G413</f>
        <v>0</v>
      </c>
      <c r="J414" s="207"/>
    </row>
    <row r="415" spans="2:10">
      <c r="B415" s="198"/>
      <c r="C415" s="199">
        <f>Dat_02!B414</f>
        <v>45855</v>
      </c>
      <c r="D415" s="198"/>
      <c r="E415" s="200">
        <f>Dat_02!C414</f>
        <v>18.507020759159058</v>
      </c>
      <c r="F415" s="200">
        <f>Dat_02!D414</f>
        <v>25.377234765527756</v>
      </c>
      <c r="G415" s="200">
        <f>Dat_02!E414</f>
        <v>18.507020759159058</v>
      </c>
      <c r="I415" s="201" t="str">
        <f>Dat_02!G414</f>
        <v/>
      </c>
      <c r="J415" s="207"/>
    </row>
    <row r="416" spans="2:10">
      <c r="B416" s="198"/>
      <c r="C416" s="199">
        <f>Dat_02!B415</f>
        <v>45856</v>
      </c>
      <c r="D416" s="198"/>
      <c r="E416" s="200">
        <f>Dat_02!C415</f>
        <v>24.003231111160929</v>
      </c>
      <c r="F416" s="200">
        <f>Dat_02!D415</f>
        <v>25.377234765527756</v>
      </c>
      <c r="G416" s="200">
        <f>Dat_02!E415</f>
        <v>24.003231111160929</v>
      </c>
      <c r="I416" s="201">
        <f>Dat_02!G415</f>
        <v>0</v>
      </c>
      <c r="J416" s="207"/>
    </row>
    <row r="417" spans="2:10">
      <c r="B417" s="198"/>
      <c r="C417" s="199">
        <f>Dat_02!B416</f>
        <v>45857</v>
      </c>
      <c r="D417" s="198"/>
      <c r="E417" s="200">
        <f>Dat_02!C416</f>
        <v>1.3460224671609249</v>
      </c>
      <c r="F417" s="200">
        <f>Dat_02!D416</f>
        <v>25.377234765527756</v>
      </c>
      <c r="G417" s="200">
        <f>Dat_02!E416</f>
        <v>1.3460224671609249</v>
      </c>
      <c r="I417" s="201">
        <f>Dat_02!G416</f>
        <v>0</v>
      </c>
      <c r="J417" s="207"/>
    </row>
    <row r="418" spans="2:10">
      <c r="B418" s="198"/>
      <c r="C418" s="199">
        <f>Dat_02!B417</f>
        <v>45858</v>
      </c>
      <c r="D418" s="198"/>
      <c r="E418" s="200">
        <f>Dat_02!C417</f>
        <v>1.3005218071572018</v>
      </c>
      <c r="F418" s="200">
        <f>Dat_02!D417</f>
        <v>25.377234765527756</v>
      </c>
      <c r="G418" s="200">
        <f>Dat_02!E417</f>
        <v>1.3005218071572018</v>
      </c>
      <c r="I418" s="201">
        <f>Dat_02!G417</f>
        <v>0</v>
      </c>
      <c r="J418" s="207"/>
    </row>
    <row r="419" spans="2:10">
      <c r="B419" s="198"/>
      <c r="C419" s="199">
        <f>Dat_02!B418</f>
        <v>45859</v>
      </c>
      <c r="D419" s="198"/>
      <c r="E419" s="200">
        <f>Dat_02!C418</f>
        <v>8.9830380631609295</v>
      </c>
      <c r="F419" s="200">
        <f>Dat_02!D418</f>
        <v>25.377234765527756</v>
      </c>
      <c r="G419" s="200">
        <f>Dat_02!E418</f>
        <v>8.9830380631609295</v>
      </c>
      <c r="I419" s="201">
        <f>Dat_02!G418</f>
        <v>0</v>
      </c>
      <c r="J419" s="207"/>
    </row>
    <row r="420" spans="2:10">
      <c r="B420" s="198"/>
      <c r="C420" s="199">
        <f>Dat_02!B419</f>
        <v>45860</v>
      </c>
      <c r="D420" s="198"/>
      <c r="E420" s="200">
        <f>Dat_02!C419</f>
        <v>21.327931907159066</v>
      </c>
      <c r="F420" s="200">
        <f>Dat_02!D419</f>
        <v>25.377234765527756</v>
      </c>
      <c r="G420" s="200">
        <f>Dat_02!E419</f>
        <v>21.327931907159066</v>
      </c>
      <c r="I420" s="201">
        <f>Dat_02!G419</f>
        <v>0</v>
      </c>
      <c r="J420" s="207"/>
    </row>
    <row r="421" spans="2:10">
      <c r="B421" s="198"/>
      <c r="C421" s="199">
        <f>Dat_02!B420</f>
        <v>45861</v>
      </c>
      <c r="D421" s="198"/>
      <c r="E421" s="200">
        <f>Dat_02!C420</f>
        <v>19.698397277743307</v>
      </c>
      <c r="F421" s="200">
        <f>Dat_02!D420</f>
        <v>25.377234765527756</v>
      </c>
      <c r="G421" s="200">
        <f>Dat_02!E420</f>
        <v>19.698397277743307</v>
      </c>
      <c r="I421" s="201">
        <f>Dat_02!G420</f>
        <v>0</v>
      </c>
      <c r="J421" s="207"/>
    </row>
    <row r="422" spans="2:10">
      <c r="B422" s="198"/>
      <c r="C422" s="199">
        <f>Dat_02!B421</f>
        <v>45862</v>
      </c>
      <c r="D422" s="198"/>
      <c r="E422" s="200">
        <f>Dat_02!C421</f>
        <v>19.402645057741445</v>
      </c>
      <c r="F422" s="200">
        <f>Dat_02!D421</f>
        <v>25.377234765527756</v>
      </c>
      <c r="G422" s="200">
        <f>Dat_02!E421</f>
        <v>19.402645057741445</v>
      </c>
      <c r="I422" s="201">
        <f>Dat_02!G421</f>
        <v>0</v>
      </c>
      <c r="J422" s="207"/>
    </row>
    <row r="423" spans="2:10">
      <c r="B423" s="198"/>
      <c r="C423" s="199">
        <f>Dat_02!B422</f>
        <v>45863</v>
      </c>
      <c r="D423" s="198"/>
      <c r="E423" s="200">
        <f>Dat_02!C422</f>
        <v>1.1036778417451643</v>
      </c>
      <c r="F423" s="200">
        <f>Dat_02!D422</f>
        <v>25.377234765527756</v>
      </c>
      <c r="G423" s="200">
        <f>Dat_02!E422</f>
        <v>1.1036778417451643</v>
      </c>
      <c r="I423" s="201">
        <f>Dat_02!G422</f>
        <v>0</v>
      </c>
      <c r="J423" s="207"/>
    </row>
    <row r="424" spans="2:10">
      <c r="B424" s="198"/>
      <c r="C424" s="199">
        <f>Dat_02!B423</f>
        <v>45864</v>
      </c>
      <c r="D424" s="198"/>
      <c r="E424" s="200">
        <f>Dat_02!C423</f>
        <v>0.99300742174330658</v>
      </c>
      <c r="F424" s="200">
        <f>Dat_02!D423</f>
        <v>25.377234765527756</v>
      </c>
      <c r="G424" s="200">
        <f>Dat_02!E423</f>
        <v>0.99300742174330658</v>
      </c>
      <c r="I424" s="201">
        <f>Dat_02!G423</f>
        <v>0</v>
      </c>
      <c r="J424" s="207"/>
    </row>
    <row r="425" spans="2:10">
      <c r="B425" s="198"/>
      <c r="C425" s="199">
        <f>Dat_02!B424</f>
        <v>45865</v>
      </c>
      <c r="D425" s="198"/>
      <c r="E425" s="200">
        <f>Dat_02!C424</f>
        <v>0.52868170974330131</v>
      </c>
      <c r="F425" s="200">
        <f>Dat_02!D424</f>
        <v>25.377234765527756</v>
      </c>
      <c r="G425" s="200">
        <f>Dat_02!E424</f>
        <v>0.52868170974330131</v>
      </c>
      <c r="I425" s="201">
        <f>Dat_02!G424</f>
        <v>0</v>
      </c>
      <c r="J425" s="207"/>
    </row>
    <row r="426" spans="2:10">
      <c r="B426" s="198"/>
      <c r="C426" s="199">
        <f>Dat_02!B425</f>
        <v>45866</v>
      </c>
      <c r="D426" s="198"/>
      <c r="E426" s="200">
        <f>Dat_02!C425</f>
        <v>0.87120617374702847</v>
      </c>
      <c r="F426" s="200">
        <f>Dat_02!D425</f>
        <v>25.377234765527756</v>
      </c>
      <c r="G426" s="200">
        <f>Dat_02!E425</f>
        <v>0.87120617374702847</v>
      </c>
      <c r="I426" s="201">
        <f>Dat_02!G425</f>
        <v>0</v>
      </c>
      <c r="J426" s="207"/>
    </row>
    <row r="427" spans="2:10">
      <c r="B427" s="198"/>
      <c r="C427" s="199">
        <f>Dat_02!B426</f>
        <v>45867</v>
      </c>
      <c r="D427" s="198"/>
      <c r="E427" s="200">
        <f>Dat_02!C426</f>
        <v>1.9895497937414401</v>
      </c>
      <c r="F427" s="200">
        <f>Dat_02!D426</f>
        <v>25.377234765527756</v>
      </c>
      <c r="G427" s="200">
        <f>Dat_02!E426</f>
        <v>1.9895497937414401</v>
      </c>
      <c r="I427" s="201">
        <f>Dat_02!G426</f>
        <v>0</v>
      </c>
      <c r="J427" s="207"/>
    </row>
    <row r="428" spans="2:10">
      <c r="B428" s="198"/>
      <c r="C428" s="199">
        <f>Dat_02!B427</f>
        <v>45868</v>
      </c>
      <c r="D428" s="198"/>
      <c r="E428" s="200">
        <f>Dat_02!C427</f>
        <v>13.957132501467727</v>
      </c>
      <c r="F428" s="200">
        <f>Dat_02!D427</f>
        <v>25.377234765527756</v>
      </c>
      <c r="G428" s="200">
        <f>Dat_02!E427</f>
        <v>13.957132501467727</v>
      </c>
      <c r="I428" s="201">
        <f>Dat_02!G427</f>
        <v>0</v>
      </c>
      <c r="J428" s="207"/>
    </row>
    <row r="429" spans="2:10">
      <c r="B429" s="198"/>
      <c r="C429" s="199">
        <f>Dat_02!B428</f>
        <v>45869</v>
      </c>
      <c r="D429" s="198"/>
      <c r="E429" s="200">
        <f>Dat_02!C428</f>
        <v>17.234185620462142</v>
      </c>
      <c r="F429" s="200">
        <f>Dat_02!D428</f>
        <v>25.377234765527756</v>
      </c>
      <c r="G429" s="200">
        <f>Dat_02!E428</f>
        <v>17.234185620462142</v>
      </c>
      <c r="I429" s="201">
        <f>Dat_02!G428</f>
        <v>0</v>
      </c>
      <c r="J429" s="207"/>
    </row>
    <row r="430" spans="2:10">
      <c r="B430" s="198"/>
      <c r="C430" s="199">
        <f>Dat_02!B429</f>
        <v>45870</v>
      </c>
      <c r="D430" s="198"/>
      <c r="E430" s="200">
        <f>Dat_02!C429</f>
        <v>12.194764484471452</v>
      </c>
      <c r="F430" s="200">
        <f>Dat_02!D429</f>
        <v>14.606396891514056</v>
      </c>
      <c r="G430" s="200">
        <f>Dat_02!E429</f>
        <v>12.194764484471452</v>
      </c>
      <c r="I430" s="201">
        <f>Dat_02!G429</f>
        <v>0</v>
      </c>
      <c r="J430" s="207"/>
    </row>
    <row r="431" spans="2:10">
      <c r="B431" s="198"/>
      <c r="C431" s="199">
        <f>Dat_02!B430</f>
        <v>45871</v>
      </c>
      <c r="D431" s="198"/>
      <c r="E431" s="200">
        <f>Dat_02!C430</f>
        <v>1.3938801114658637</v>
      </c>
      <c r="F431" s="200">
        <f>Dat_02!D430</f>
        <v>14.606396891514056</v>
      </c>
      <c r="G431" s="200">
        <f>Dat_02!E430</f>
        <v>1.3938801114658637</v>
      </c>
      <c r="I431" s="201">
        <f>Dat_02!G430</f>
        <v>0</v>
      </c>
      <c r="J431" s="207"/>
    </row>
    <row r="432" spans="2:10">
      <c r="B432" s="198"/>
      <c r="C432" s="199">
        <f>Dat_02!B431</f>
        <v>45872</v>
      </c>
      <c r="D432" s="198"/>
      <c r="E432" s="200">
        <f>Dat_02!C431</f>
        <v>1.4602158054640022</v>
      </c>
      <c r="F432" s="200">
        <f>Dat_02!D431</f>
        <v>14.606396891514056</v>
      </c>
      <c r="G432" s="200">
        <f>Dat_02!E431</f>
        <v>1.4602158054640022</v>
      </c>
      <c r="I432" s="201">
        <f>Dat_02!G431</f>
        <v>0</v>
      </c>
      <c r="J432" s="207"/>
    </row>
    <row r="433" spans="2:10">
      <c r="B433" s="198"/>
      <c r="C433" s="199">
        <f>Dat_02!B432</f>
        <v>45873</v>
      </c>
      <c r="D433" s="198"/>
      <c r="E433" s="200">
        <f>Dat_02!C432</f>
        <v>26.535674111465866</v>
      </c>
      <c r="F433" s="200">
        <f>Dat_02!D432</f>
        <v>14.606396891514056</v>
      </c>
      <c r="G433" s="200">
        <f>Dat_02!E432</f>
        <v>14.606396891514056</v>
      </c>
      <c r="I433" s="201">
        <f>Dat_02!G432</f>
        <v>0</v>
      </c>
      <c r="J433" s="207"/>
    </row>
    <row r="434" spans="2:10">
      <c r="B434" s="198"/>
      <c r="C434" s="199">
        <f>Dat_02!B433</f>
        <v>45874</v>
      </c>
      <c r="D434" s="198"/>
      <c r="E434" s="200">
        <f>Dat_02!C433</f>
        <v>20.91808489246959</v>
      </c>
      <c r="F434" s="200">
        <f>Dat_02!D433</f>
        <v>14.606396891514056</v>
      </c>
      <c r="G434" s="200">
        <f>Dat_02!E433</f>
        <v>14.606396891514056</v>
      </c>
      <c r="I434" s="201">
        <f>Dat_02!G433</f>
        <v>0</v>
      </c>
      <c r="J434" s="207"/>
    </row>
    <row r="435" spans="2:10">
      <c r="B435" s="198"/>
      <c r="C435" s="199">
        <f>Dat_02!B434</f>
        <v>45875</v>
      </c>
      <c r="D435" s="198"/>
      <c r="E435" s="200">
        <f>Dat_02!C434</f>
        <v>13.157603789703018</v>
      </c>
      <c r="F435" s="200">
        <f>Dat_02!D434</f>
        <v>14.606396891514056</v>
      </c>
      <c r="G435" s="200">
        <f>Dat_02!E434</f>
        <v>13.157603789703018</v>
      </c>
      <c r="I435" s="201">
        <f>Dat_02!G434</f>
        <v>0</v>
      </c>
      <c r="J435" s="207"/>
    </row>
    <row r="436" spans="2:10">
      <c r="B436" s="198"/>
      <c r="C436" s="199">
        <f>Dat_02!B435</f>
        <v>45876</v>
      </c>
      <c r="D436" s="198"/>
      <c r="E436" s="200">
        <f>Dat_02!C435</f>
        <v>8.2091536297085987</v>
      </c>
      <c r="F436" s="200">
        <f>Dat_02!D435</f>
        <v>14.606396891514056</v>
      </c>
      <c r="G436" s="200">
        <f>Dat_02!E435</f>
        <v>8.2091536297085987</v>
      </c>
      <c r="I436" s="201">
        <f>Dat_02!G435</f>
        <v>0</v>
      </c>
      <c r="J436" s="207"/>
    </row>
    <row r="437" spans="2:10">
      <c r="B437" s="198"/>
      <c r="C437" s="199">
        <f>Dat_02!B436</f>
        <v>45877</v>
      </c>
      <c r="D437" s="198"/>
      <c r="E437" s="200">
        <f>Dat_02!C436</f>
        <v>14.150909509703022</v>
      </c>
      <c r="F437" s="200">
        <f>Dat_02!D436</f>
        <v>14.606396891514056</v>
      </c>
      <c r="G437" s="200">
        <f>Dat_02!E436</f>
        <v>14.150909509703022</v>
      </c>
      <c r="I437" s="201">
        <f>Dat_02!G436</f>
        <v>0</v>
      </c>
      <c r="J437" s="207"/>
    </row>
    <row r="438" spans="2:10">
      <c r="B438" s="198"/>
      <c r="C438" s="199">
        <f>Dat_02!B437</f>
        <v>45878</v>
      </c>
      <c r="D438" s="198"/>
      <c r="E438" s="200">
        <f>Dat_02!C437</f>
        <v>0.62003202171046723</v>
      </c>
      <c r="F438" s="200">
        <f>Dat_02!D437</f>
        <v>14.606396891514056</v>
      </c>
      <c r="G438" s="200">
        <f>Dat_02!E437</f>
        <v>0.62003202171046723</v>
      </c>
      <c r="I438" s="201">
        <f>Dat_02!G437</f>
        <v>0</v>
      </c>
      <c r="J438" s="207"/>
    </row>
    <row r="439" spans="2:10">
      <c r="B439" s="198"/>
      <c r="C439" s="199">
        <f>Dat_02!B438</f>
        <v>45879</v>
      </c>
      <c r="D439" s="198"/>
      <c r="E439" s="200">
        <f>Dat_02!C438</f>
        <v>0.58029145370487822</v>
      </c>
      <c r="F439" s="200">
        <f>Dat_02!D438</f>
        <v>14.606396891514056</v>
      </c>
      <c r="G439" s="200">
        <f>Dat_02!E438</f>
        <v>0.58029145370487822</v>
      </c>
      <c r="I439" s="201">
        <f>Dat_02!G438</f>
        <v>0</v>
      </c>
      <c r="J439" s="207"/>
    </row>
    <row r="440" spans="2:10">
      <c r="B440" s="198"/>
      <c r="C440" s="199">
        <f>Dat_02!B439</f>
        <v>45880</v>
      </c>
      <c r="D440" s="198"/>
      <c r="E440" s="200">
        <f>Dat_02!C439</f>
        <v>7.944978201703023</v>
      </c>
      <c r="F440" s="200">
        <f>Dat_02!D439</f>
        <v>14.606396891514056</v>
      </c>
      <c r="G440" s="200">
        <f>Dat_02!E439</f>
        <v>7.944978201703023</v>
      </c>
      <c r="I440" s="201">
        <f>Dat_02!G439</f>
        <v>0</v>
      </c>
      <c r="J440" s="207"/>
    </row>
    <row r="441" spans="2:10">
      <c r="B441" s="198"/>
      <c r="C441" s="199">
        <f>Dat_02!B440</f>
        <v>45881</v>
      </c>
      <c r="D441" s="198"/>
      <c r="E441" s="200">
        <f>Dat_02!C440</f>
        <v>9.3381222057085971</v>
      </c>
      <c r="F441" s="200">
        <f>Dat_02!D440</f>
        <v>14.606396891514056</v>
      </c>
      <c r="G441" s="200">
        <f>Dat_02!E440</f>
        <v>9.3381222057085971</v>
      </c>
      <c r="I441" s="201">
        <f>Dat_02!G440</f>
        <v>0</v>
      </c>
      <c r="J441" s="207"/>
    </row>
    <row r="442" spans="2:10">
      <c r="B442" s="198"/>
      <c r="C442" s="199">
        <f>Dat_02!B441</f>
        <v>45882</v>
      </c>
      <c r="D442" s="198"/>
      <c r="E442" s="200">
        <f>Dat_02!C441</f>
        <v>11.9204894591607</v>
      </c>
      <c r="F442" s="200">
        <f>Dat_02!D441</f>
        <v>14.606396891514056</v>
      </c>
      <c r="G442" s="200">
        <f>Dat_02!E441</f>
        <v>11.9204894591607</v>
      </c>
      <c r="I442" s="201">
        <f>Dat_02!G441</f>
        <v>0</v>
      </c>
      <c r="J442" s="207"/>
    </row>
    <row r="443" spans="2:10">
      <c r="B443" s="198"/>
      <c r="C443" s="199">
        <f>Dat_02!B442</f>
        <v>45883</v>
      </c>
      <c r="D443" s="198"/>
      <c r="E443" s="200">
        <f>Dat_02!C442</f>
        <v>4.2943351511588403</v>
      </c>
      <c r="F443" s="200">
        <f>Dat_02!D442</f>
        <v>14.606396891514056</v>
      </c>
      <c r="G443" s="200">
        <f>Dat_02!E442</f>
        <v>4.2943351511588403</v>
      </c>
      <c r="I443" s="201" t="str">
        <f>Dat_02!G442</f>
        <v/>
      </c>
      <c r="J443" s="207"/>
    </row>
    <row r="444" spans="2:10">
      <c r="B444" s="198"/>
      <c r="C444" s="199">
        <f>Dat_02!B443</f>
        <v>45884</v>
      </c>
      <c r="D444" s="198"/>
      <c r="E444" s="200">
        <f>Dat_02!C443</f>
        <v>1.2630359191607059</v>
      </c>
      <c r="F444" s="200">
        <f>Dat_02!D443</f>
        <v>14.606396891514056</v>
      </c>
      <c r="G444" s="200">
        <f>Dat_02!E443</f>
        <v>1.2630359191607059</v>
      </c>
      <c r="I444" s="201">
        <f>Dat_02!G443</f>
        <v>0</v>
      </c>
      <c r="J444" s="207"/>
    </row>
    <row r="445" spans="2:10">
      <c r="B445" s="198"/>
      <c r="C445" s="199">
        <f>Dat_02!B444</f>
        <v>45885</v>
      </c>
      <c r="D445" s="198"/>
      <c r="E445" s="200">
        <f>Dat_02!C444</f>
        <v>0.5145405361607045</v>
      </c>
      <c r="F445" s="200">
        <f>Dat_02!D444</f>
        <v>14.606396891514056</v>
      </c>
      <c r="G445" s="200">
        <f>Dat_02!E444</f>
        <v>0.5145405361607045</v>
      </c>
      <c r="I445" s="201">
        <f>Dat_02!G444</f>
        <v>0</v>
      </c>
      <c r="J445" s="207"/>
    </row>
    <row r="446" spans="2:10">
      <c r="B446" s="198"/>
      <c r="C446" s="199">
        <f>Dat_02!B445</f>
        <v>45886</v>
      </c>
      <c r="D446" s="198"/>
      <c r="E446" s="200">
        <f>Dat_02!C445</f>
        <v>1.0636899021625723</v>
      </c>
      <c r="F446" s="200">
        <f>Dat_02!D445</f>
        <v>14.606396891514056</v>
      </c>
      <c r="G446" s="200">
        <f>Dat_02!E445</f>
        <v>1.0636899021625723</v>
      </c>
      <c r="I446" s="201">
        <f>Dat_02!G445</f>
        <v>0</v>
      </c>
      <c r="J446" s="207"/>
    </row>
    <row r="447" spans="2:10">
      <c r="B447" s="198"/>
      <c r="C447" s="199">
        <f>Dat_02!B446</f>
        <v>45887</v>
      </c>
      <c r="D447" s="198"/>
      <c r="E447" s="200">
        <f>Dat_02!C446</f>
        <v>2.2906401991607126</v>
      </c>
      <c r="F447" s="200">
        <f>Dat_02!D446</f>
        <v>14.606396891514056</v>
      </c>
      <c r="G447" s="200">
        <f>Dat_02!E446</f>
        <v>2.2906401991607126</v>
      </c>
      <c r="I447" s="201">
        <f>Dat_02!G446</f>
        <v>0</v>
      </c>
      <c r="J447" s="207"/>
    </row>
    <row r="448" spans="2:10">
      <c r="B448" s="198"/>
      <c r="C448" s="199">
        <f>Dat_02!B447</f>
        <v>45888</v>
      </c>
      <c r="D448" s="198"/>
      <c r="E448" s="200">
        <f>Dat_02!C447</f>
        <v>0.55340952715698222</v>
      </c>
      <c r="F448" s="200">
        <f>Dat_02!D447</f>
        <v>14.606396891514056</v>
      </c>
      <c r="G448" s="200">
        <f>Dat_02!E447</f>
        <v>0.55340952715698222</v>
      </c>
      <c r="I448" s="201">
        <f>Dat_02!G447</f>
        <v>0</v>
      </c>
      <c r="J448" s="207"/>
    </row>
    <row r="449" spans="2:10">
      <c r="B449" s="198"/>
      <c r="C449" s="199">
        <f>Dat_02!B448</f>
        <v>45889</v>
      </c>
      <c r="D449" s="198"/>
      <c r="E449" s="200">
        <f>Dat_02!C448</f>
        <v>8.1066654437322221</v>
      </c>
      <c r="F449" s="200">
        <f>Dat_02!D448</f>
        <v>14.606396891514056</v>
      </c>
      <c r="G449" s="200">
        <f>Dat_02!E448</f>
        <v>8.1066654437322221</v>
      </c>
      <c r="I449" s="201">
        <f>Dat_02!G448</f>
        <v>0</v>
      </c>
      <c r="J449" s="207"/>
    </row>
    <row r="450" spans="2:10">
      <c r="B450" s="198"/>
      <c r="C450" s="199">
        <f>Dat_02!B449</f>
        <v>45890</v>
      </c>
      <c r="D450" s="198"/>
      <c r="E450" s="200">
        <f>Dat_02!C449</f>
        <v>8.834458943735946</v>
      </c>
      <c r="F450" s="200">
        <f>Dat_02!D449</f>
        <v>14.606396891514056</v>
      </c>
      <c r="G450" s="200">
        <f>Dat_02!E449</f>
        <v>8.834458943735946</v>
      </c>
      <c r="I450" s="201">
        <f>Dat_02!G449</f>
        <v>0</v>
      </c>
      <c r="J450" s="207"/>
    </row>
    <row r="451" spans="2:10">
      <c r="B451" s="198"/>
      <c r="C451" s="199">
        <f>Dat_02!B450</f>
        <v>45891</v>
      </c>
      <c r="D451" s="198"/>
      <c r="E451" s="200">
        <f>Dat_02!C450</f>
        <v>10.591494696732218</v>
      </c>
      <c r="F451" s="200">
        <f>Dat_02!D450</f>
        <v>14.606396891514056</v>
      </c>
      <c r="G451" s="200">
        <f>Dat_02!E450</f>
        <v>10.591494696732218</v>
      </c>
      <c r="I451" s="201">
        <f>Dat_02!G450</f>
        <v>0</v>
      </c>
      <c r="J451" s="207"/>
    </row>
    <row r="452" spans="2:10">
      <c r="B452" s="198"/>
      <c r="C452" s="199">
        <f>Dat_02!B451</f>
        <v>45892</v>
      </c>
      <c r="D452" s="198"/>
      <c r="E452" s="200">
        <f>Dat_02!C451</f>
        <v>18.622823034732217</v>
      </c>
      <c r="F452" s="200">
        <f>Dat_02!D451</f>
        <v>14.606396891514056</v>
      </c>
      <c r="G452" s="200">
        <f>Dat_02!E451</f>
        <v>14.606396891514056</v>
      </c>
      <c r="I452" s="201">
        <f>Dat_02!G451</f>
        <v>0</v>
      </c>
      <c r="J452" s="207"/>
    </row>
    <row r="453" spans="2:10">
      <c r="B453" s="198"/>
      <c r="C453" s="199">
        <f>Dat_02!B452</f>
        <v>45893</v>
      </c>
      <c r="D453" s="198"/>
      <c r="E453" s="200">
        <f>Dat_02!C452</f>
        <v>13.983708154734085</v>
      </c>
      <c r="F453" s="200">
        <f>Dat_02!D452</f>
        <v>14.606396891514056</v>
      </c>
      <c r="G453" s="200">
        <f>Dat_02!E452</f>
        <v>13.983708154734085</v>
      </c>
      <c r="I453" s="201">
        <f>Dat_02!G452</f>
        <v>0</v>
      </c>
      <c r="J453" s="207"/>
    </row>
    <row r="454" spans="2:10">
      <c r="B454" s="198"/>
      <c r="C454" s="199">
        <f>Dat_02!B453</f>
        <v>45894</v>
      </c>
      <c r="D454" s="198"/>
      <c r="E454" s="200">
        <f>Dat_02!C453</f>
        <v>9.0344177397322198</v>
      </c>
      <c r="F454" s="200">
        <f>Dat_02!D453</f>
        <v>14.606396891514056</v>
      </c>
      <c r="G454" s="200">
        <f>Dat_02!E453</f>
        <v>9.0344177397322198</v>
      </c>
      <c r="I454" s="201">
        <f>Dat_02!G453</f>
        <v>0</v>
      </c>
      <c r="J454" s="207"/>
    </row>
    <row r="455" spans="2:10">
      <c r="B455" s="198"/>
      <c r="C455" s="199">
        <f>Dat_02!B454</f>
        <v>45895</v>
      </c>
      <c r="D455" s="198"/>
      <c r="E455" s="200">
        <f>Dat_02!C454</f>
        <v>9.2639256127322156</v>
      </c>
      <c r="F455" s="200">
        <f>Dat_02!D454</f>
        <v>14.606396891514056</v>
      </c>
      <c r="G455" s="200">
        <f>Dat_02!E454</f>
        <v>9.2639256127322156</v>
      </c>
      <c r="I455" s="201">
        <f>Dat_02!G454</f>
        <v>0</v>
      </c>
      <c r="J455" s="207"/>
    </row>
    <row r="456" spans="2:10">
      <c r="B456" s="198"/>
      <c r="C456" s="199">
        <f>Dat_02!B455</f>
        <v>45896</v>
      </c>
      <c r="D456" s="198"/>
      <c r="E456" s="200">
        <f>Dat_02!C455</f>
        <v>28.058542062076945</v>
      </c>
      <c r="F456" s="200">
        <f>Dat_02!D455</f>
        <v>14.606396891514056</v>
      </c>
      <c r="G456" s="200">
        <f>Dat_02!E455</f>
        <v>14.606396891514056</v>
      </c>
      <c r="I456" s="201">
        <f>Dat_02!G455</f>
        <v>0</v>
      </c>
      <c r="J456" s="207"/>
    </row>
    <row r="457" spans="2:10">
      <c r="B457" s="198"/>
      <c r="C457" s="199">
        <f>Dat_02!B456</f>
        <v>45897</v>
      </c>
      <c r="D457" s="198"/>
      <c r="E457" s="200">
        <f>Dat_02!C456</f>
        <v>2.2423037120769442</v>
      </c>
      <c r="F457" s="200">
        <f>Dat_02!D456</f>
        <v>14.606396891514056</v>
      </c>
      <c r="G457" s="200">
        <f>Dat_02!E456</f>
        <v>2.2423037120769442</v>
      </c>
      <c r="I457" s="201">
        <f>Dat_02!G456</f>
        <v>0</v>
      </c>
      <c r="J457" s="207"/>
    </row>
    <row r="458" spans="2:10">
      <c r="B458" s="198"/>
      <c r="C458" s="199">
        <f>Dat_02!B457</f>
        <v>45898</v>
      </c>
      <c r="D458" s="198"/>
      <c r="E458" s="200">
        <f>Dat_02!C457</f>
        <v>2.3390195480750844</v>
      </c>
      <c r="F458" s="200">
        <f>Dat_02!D457</f>
        <v>14.606396891514056</v>
      </c>
      <c r="G458" s="200">
        <f>Dat_02!E457</f>
        <v>2.3390195480750844</v>
      </c>
      <c r="I458" s="201">
        <f>Dat_02!G457</f>
        <v>0</v>
      </c>
      <c r="J458" s="207"/>
    </row>
    <row r="459" spans="2:10">
      <c r="B459" s="198"/>
      <c r="C459" s="199">
        <f>Dat_02!B458</f>
        <v>45899</v>
      </c>
      <c r="D459" s="198"/>
      <c r="E459" s="200">
        <f>Dat_02!C458</f>
        <v>4.3992242260732164</v>
      </c>
      <c r="F459" s="200">
        <f>Dat_02!D458</f>
        <v>14.606396891514056</v>
      </c>
      <c r="G459" s="200">
        <f>Dat_02!E458</f>
        <v>4.3992242260732164</v>
      </c>
      <c r="I459" s="201">
        <f>Dat_02!G458</f>
        <v>0</v>
      </c>
      <c r="J459" s="207"/>
    </row>
    <row r="460" spans="2:10">
      <c r="B460" s="198"/>
      <c r="C460" s="199">
        <f>Dat_02!B459</f>
        <v>45900</v>
      </c>
      <c r="D460" s="198"/>
      <c r="E460" s="200">
        <f>Dat_02!C459</f>
        <v>6.5272750440769451</v>
      </c>
      <c r="F460" s="200">
        <f>Dat_02!D459</f>
        <v>14.606396891514056</v>
      </c>
      <c r="G460" s="200">
        <f>Dat_02!E459</f>
        <v>6.5272750440769451</v>
      </c>
      <c r="I460" s="201">
        <f>Dat_02!G459</f>
        <v>0</v>
      </c>
      <c r="J460" s="207"/>
    </row>
    <row r="461" spans="2:10">
      <c r="B461" s="198"/>
      <c r="C461" s="199">
        <f>Dat_02!B460</f>
        <v>45901</v>
      </c>
      <c r="D461" s="198"/>
      <c r="E461" s="200">
        <f>Dat_02!C460</f>
        <v>1.2817477090750835</v>
      </c>
      <c r="F461" s="200">
        <f>Dat_02!D460</f>
        <v>20.096931654918169</v>
      </c>
      <c r="G461" s="200">
        <f>Dat_02!E460</f>
        <v>1.2817477090750835</v>
      </c>
      <c r="I461" s="201">
        <f>Dat_02!G460</f>
        <v>0</v>
      </c>
      <c r="J461" s="207"/>
    </row>
    <row r="462" spans="2:10">
      <c r="B462" s="198"/>
      <c r="C462" s="199">
        <f>Dat_02!B461</f>
        <v>45902</v>
      </c>
      <c r="D462" s="198"/>
      <c r="E462" s="200">
        <f>Dat_02!C461</f>
        <v>1.6173166890750799</v>
      </c>
      <c r="F462" s="200">
        <f>Dat_02!D461</f>
        <v>20.096931654918169</v>
      </c>
      <c r="G462" s="200">
        <f>Dat_02!E461</f>
        <v>1.6173166890750799</v>
      </c>
      <c r="I462" s="201">
        <f>Dat_02!G461</f>
        <v>0</v>
      </c>
      <c r="J462" s="207"/>
    </row>
    <row r="463" spans="2:10">
      <c r="B463" s="198"/>
      <c r="C463" s="199">
        <f>Dat_02!B462</f>
        <v>45903</v>
      </c>
      <c r="D463" s="198"/>
      <c r="E463" s="200">
        <f>Dat_02!C462</f>
        <v>2.1154391071034699</v>
      </c>
      <c r="F463" s="200">
        <f>Dat_02!D462</f>
        <v>20.096931654918169</v>
      </c>
      <c r="G463" s="200">
        <f>Dat_02!E462</f>
        <v>2.1154391071034699</v>
      </c>
      <c r="I463" s="201">
        <f>Dat_02!G462</f>
        <v>0</v>
      </c>
      <c r="J463" s="207"/>
    </row>
    <row r="464" spans="2:10">
      <c r="B464" s="198"/>
      <c r="C464" s="199">
        <f>Dat_02!B463</f>
        <v>45904</v>
      </c>
      <c r="D464" s="198"/>
      <c r="E464" s="200">
        <f>Dat_02!C463</f>
        <v>19.321785347101613</v>
      </c>
      <c r="F464" s="200">
        <f>Dat_02!D463</f>
        <v>20.096931654918169</v>
      </c>
      <c r="G464" s="200">
        <f>Dat_02!E463</f>
        <v>19.321785347101613</v>
      </c>
      <c r="I464" s="201">
        <f>Dat_02!G463</f>
        <v>0</v>
      </c>
      <c r="J464" s="207"/>
    </row>
    <row r="465" spans="2:10">
      <c r="B465" s="198"/>
      <c r="C465" s="199">
        <f>Dat_02!B464</f>
        <v>45905</v>
      </c>
      <c r="D465" s="198"/>
      <c r="E465" s="200">
        <f>Dat_02!C464</f>
        <v>24.546131320103473</v>
      </c>
      <c r="F465" s="200">
        <f>Dat_02!D464</f>
        <v>20.096931654918169</v>
      </c>
      <c r="G465" s="200">
        <f>Dat_02!E464</f>
        <v>20.096931654918169</v>
      </c>
      <c r="I465" s="201">
        <f>Dat_02!G464</f>
        <v>0</v>
      </c>
      <c r="J465" s="207"/>
    </row>
    <row r="466" spans="2:10">
      <c r="B466" s="198"/>
      <c r="C466" s="199">
        <f>Dat_02!B465</f>
        <v>45906</v>
      </c>
      <c r="D466" s="198"/>
      <c r="E466" s="200">
        <f>Dat_02!C465</f>
        <v>7.2915253381034706</v>
      </c>
      <c r="F466" s="200">
        <f>Dat_02!D465</f>
        <v>20.096931654918169</v>
      </c>
      <c r="G466" s="200">
        <f>Dat_02!E465</f>
        <v>7.2915253381034706</v>
      </c>
      <c r="I466" s="201">
        <f>Dat_02!G465</f>
        <v>0</v>
      </c>
      <c r="J466" s="207"/>
    </row>
    <row r="467" spans="2:10">
      <c r="B467" s="198"/>
      <c r="C467" s="199">
        <f>Dat_02!B466</f>
        <v>45907</v>
      </c>
      <c r="D467" s="198"/>
      <c r="E467" s="200">
        <f>Dat_02!C466</f>
        <v>14.543756771103471</v>
      </c>
      <c r="F467" s="200">
        <f>Dat_02!D466</f>
        <v>20.096931654918169</v>
      </c>
      <c r="G467" s="200">
        <f>Dat_02!E466</f>
        <v>14.543756771103471</v>
      </c>
      <c r="I467" s="201">
        <f>Dat_02!G466</f>
        <v>0</v>
      </c>
      <c r="J467" s="207"/>
    </row>
    <row r="468" spans="2:10">
      <c r="B468" s="198"/>
      <c r="C468" s="199">
        <f>Dat_02!B467</f>
        <v>45908</v>
      </c>
      <c r="D468" s="198"/>
      <c r="E468" s="200">
        <f>Dat_02!C467</f>
        <v>35.211344651101605</v>
      </c>
      <c r="F468" s="200">
        <f>Dat_02!D467</f>
        <v>20.096931654918169</v>
      </c>
      <c r="G468" s="200">
        <f>Dat_02!E467</f>
        <v>20.096931654918169</v>
      </c>
      <c r="I468" s="201">
        <f>Dat_02!G467</f>
        <v>0</v>
      </c>
      <c r="J468" s="207"/>
    </row>
    <row r="469" spans="2:10">
      <c r="B469" s="198"/>
      <c r="C469" s="199">
        <f>Dat_02!B468</f>
        <v>45909</v>
      </c>
      <c r="D469" s="198"/>
      <c r="E469" s="200">
        <f>Dat_02!C468</f>
        <v>31.689608963101609</v>
      </c>
      <c r="F469" s="200">
        <f>Dat_02!D468</f>
        <v>20.096931654918169</v>
      </c>
      <c r="G469" s="200">
        <f>Dat_02!E468</f>
        <v>20.096931654918169</v>
      </c>
      <c r="I469" s="201">
        <f>Dat_02!G468</f>
        <v>0</v>
      </c>
      <c r="J469" s="207"/>
    </row>
    <row r="470" spans="2:10">
      <c r="B470" s="198"/>
      <c r="C470" s="199">
        <f>Dat_02!B469</f>
        <v>45910</v>
      </c>
      <c r="D470" s="198"/>
      <c r="E470" s="200">
        <f>Dat_02!C469</f>
        <v>13.092552855678653</v>
      </c>
      <c r="F470" s="200">
        <f>Dat_02!D469</f>
        <v>20.096931654918169</v>
      </c>
      <c r="G470" s="200">
        <f>Dat_02!E469</f>
        <v>13.092552855678653</v>
      </c>
      <c r="I470" s="201">
        <f>Dat_02!G469</f>
        <v>0</v>
      </c>
      <c r="J470" s="207"/>
    </row>
    <row r="471" spans="2:10">
      <c r="B471" s="198"/>
      <c r="C471" s="199">
        <f>Dat_02!B470</f>
        <v>45911</v>
      </c>
      <c r="D471" s="198"/>
      <c r="E471" s="200">
        <f>Dat_02!C470</f>
        <v>15.365002231673069</v>
      </c>
      <c r="F471" s="200">
        <f>Dat_02!D470</f>
        <v>20.096931654918169</v>
      </c>
      <c r="G471" s="200">
        <f>Dat_02!E470</f>
        <v>15.365002231673069</v>
      </c>
      <c r="I471" s="201">
        <f>Dat_02!G470</f>
        <v>0</v>
      </c>
      <c r="J471" s="207"/>
    </row>
    <row r="472" spans="2:10">
      <c r="B472" s="198"/>
      <c r="C472" s="199">
        <f>Dat_02!B471</f>
        <v>45912</v>
      </c>
      <c r="D472" s="198"/>
      <c r="E472" s="200">
        <f>Dat_02!C471</f>
        <v>34.737672312676793</v>
      </c>
      <c r="F472" s="200">
        <f>Dat_02!D471</f>
        <v>20.096931654918169</v>
      </c>
      <c r="G472" s="200">
        <f>Dat_02!E471</f>
        <v>20.096931654918169</v>
      </c>
      <c r="I472" s="201">
        <f>Dat_02!G471</f>
        <v>0</v>
      </c>
      <c r="J472" s="207"/>
    </row>
    <row r="473" spans="2:10">
      <c r="B473" s="198"/>
      <c r="C473" s="199">
        <f>Dat_02!B472</f>
        <v>45913</v>
      </c>
      <c r="D473" s="198"/>
      <c r="E473" s="200">
        <f>Dat_02!C472</f>
        <v>21.468902958676793</v>
      </c>
      <c r="F473" s="200">
        <f>Dat_02!D472</f>
        <v>20.096931654918169</v>
      </c>
      <c r="G473" s="200">
        <f>Dat_02!E472</f>
        <v>20.096931654918169</v>
      </c>
      <c r="I473" s="201">
        <f>Dat_02!G472</f>
        <v>0</v>
      </c>
      <c r="J473" s="207"/>
    </row>
    <row r="474" spans="2:10">
      <c r="B474" s="198"/>
      <c r="C474" s="199">
        <f>Dat_02!B473</f>
        <v>45914</v>
      </c>
      <c r="D474" s="198"/>
      <c r="E474" s="200">
        <f>Dat_02!C473</f>
        <v>13.576204775674931</v>
      </c>
      <c r="F474" s="200">
        <f>Dat_02!D473</f>
        <v>20.096931654918169</v>
      </c>
      <c r="G474" s="200">
        <f>Dat_02!E473</f>
        <v>13.576204775674931</v>
      </c>
      <c r="I474" s="201" t="str">
        <f>Dat_02!G473</f>
        <v/>
      </c>
      <c r="J474" s="207"/>
    </row>
    <row r="475" spans="2:10">
      <c r="B475" s="198"/>
      <c r="C475" s="199">
        <f>Dat_02!B474</f>
        <v>45915</v>
      </c>
      <c r="D475" s="198"/>
      <c r="E475" s="200">
        <f>Dat_02!C474</f>
        <v>18.451686891676793</v>
      </c>
      <c r="F475" s="200">
        <f>Dat_02!D474</f>
        <v>20.096931654918169</v>
      </c>
      <c r="G475" s="200">
        <f>Dat_02!E474</f>
        <v>18.451686891676793</v>
      </c>
      <c r="I475" s="201">
        <f>Dat_02!G474</f>
        <v>0</v>
      </c>
      <c r="J475" s="207"/>
    </row>
    <row r="476" spans="2:10">
      <c r="B476" s="198"/>
      <c r="C476" s="199">
        <f>Dat_02!B475</f>
        <v>45916</v>
      </c>
      <c r="D476" s="198"/>
      <c r="E476" s="200">
        <f>Dat_02!C475</f>
        <v>19.344326808674932</v>
      </c>
      <c r="F476" s="200">
        <f>Dat_02!D475</f>
        <v>20.096931654918169</v>
      </c>
      <c r="G476" s="200">
        <f>Dat_02!E475</f>
        <v>19.344326808674932</v>
      </c>
      <c r="I476" s="201">
        <f>Dat_02!G475</f>
        <v>0</v>
      </c>
      <c r="J476" s="207"/>
    </row>
    <row r="477" spans="2:10">
      <c r="B477" s="198"/>
      <c r="C477" s="199">
        <f>Dat_02!B476</f>
        <v>45917</v>
      </c>
      <c r="D477" s="198"/>
      <c r="E477" s="200">
        <f>Dat_02!C476</f>
        <v>14.745610182199655</v>
      </c>
      <c r="F477" s="200">
        <f>Dat_02!D476</f>
        <v>20.096931654918169</v>
      </c>
      <c r="G477" s="200">
        <f>Dat_02!E476</f>
        <v>14.745610182199655</v>
      </c>
      <c r="I477" s="201">
        <f>Dat_02!G476</f>
        <v>0</v>
      </c>
      <c r="J477" s="207"/>
    </row>
    <row r="478" spans="2:10">
      <c r="B478" s="198"/>
      <c r="C478" s="199">
        <f>Dat_02!B477</f>
        <v>45918</v>
      </c>
      <c r="D478" s="198"/>
      <c r="E478" s="200">
        <f>Dat_02!C477</f>
        <v>10.083807815199659</v>
      </c>
      <c r="F478" s="200">
        <f>Dat_02!D477</f>
        <v>20.096931654918169</v>
      </c>
      <c r="G478" s="200">
        <f>Dat_02!E477</f>
        <v>10.083807815199659</v>
      </c>
      <c r="I478" s="201">
        <f>Dat_02!G477</f>
        <v>0</v>
      </c>
      <c r="J478" s="207"/>
    </row>
    <row r="479" spans="2:10">
      <c r="B479" s="198"/>
      <c r="C479" s="199">
        <f>Dat_02!B478</f>
        <v>45919</v>
      </c>
      <c r="D479" s="198"/>
      <c r="E479" s="200">
        <f>Dat_02!C478</f>
        <v>6.9708534591977953</v>
      </c>
      <c r="F479" s="200">
        <f>Dat_02!D478</f>
        <v>20.096931654918169</v>
      </c>
      <c r="G479" s="200">
        <f>Dat_02!E478</f>
        <v>6.9708534591977953</v>
      </c>
      <c r="I479" s="201">
        <f>Dat_02!G478</f>
        <v>0</v>
      </c>
      <c r="J479" s="207"/>
    </row>
    <row r="480" spans="2:10">
      <c r="B480" s="198"/>
      <c r="C480" s="199">
        <f>Dat_02!B479</f>
        <v>45920</v>
      </c>
      <c r="D480" s="198"/>
      <c r="E480" s="200">
        <f>Dat_02!C479</f>
        <v>7.4601010751977954</v>
      </c>
      <c r="F480" s="200">
        <f>Dat_02!D479</f>
        <v>20.096931654918169</v>
      </c>
      <c r="G480" s="200">
        <f>Dat_02!E479</f>
        <v>7.4601010751977954</v>
      </c>
      <c r="I480" s="201">
        <f>Dat_02!G479</f>
        <v>0</v>
      </c>
      <c r="J480" s="207"/>
    </row>
    <row r="481" spans="2:10">
      <c r="B481" s="198"/>
      <c r="C481" s="199">
        <f>Dat_02!B480</f>
        <v>45921</v>
      </c>
      <c r="D481" s="198"/>
      <c r="E481" s="200">
        <f>Dat_02!C480</f>
        <v>0.88863244720152212</v>
      </c>
      <c r="F481" s="200">
        <f>Dat_02!D480</f>
        <v>20.096931654918169</v>
      </c>
      <c r="G481" s="200">
        <f>Dat_02!E480</f>
        <v>0.88863244720152212</v>
      </c>
      <c r="I481" s="201">
        <f>Dat_02!G480</f>
        <v>0</v>
      </c>
      <c r="J481" s="207"/>
    </row>
    <row r="482" spans="2:10">
      <c r="B482" s="198"/>
      <c r="C482" s="199">
        <f>Dat_02!B481</f>
        <v>45922</v>
      </c>
      <c r="D482" s="198"/>
      <c r="E482" s="200">
        <f>Dat_02!C481</f>
        <v>0.95296703919779979</v>
      </c>
      <c r="F482" s="200">
        <f>Dat_02!D481</f>
        <v>20.096931654918169</v>
      </c>
      <c r="G482" s="200">
        <f>Dat_02!E481</f>
        <v>0.95296703919779979</v>
      </c>
      <c r="I482" s="201">
        <f>Dat_02!G481</f>
        <v>0</v>
      </c>
      <c r="J482" s="207"/>
    </row>
    <row r="483" spans="2:10">
      <c r="B483" s="198"/>
      <c r="C483" s="199">
        <f>Dat_02!B482</f>
        <v>45923</v>
      </c>
      <c r="D483" s="198"/>
      <c r="E483" s="200">
        <f>Dat_02!C482</f>
        <v>1.107356255201521</v>
      </c>
      <c r="F483" s="200">
        <f>Dat_02!D482</f>
        <v>20.096931654918169</v>
      </c>
      <c r="G483" s="200">
        <f>Dat_02!E482</f>
        <v>1.107356255201521</v>
      </c>
      <c r="I483" s="201">
        <f>Dat_02!G482</f>
        <v>0</v>
      </c>
      <c r="J483" s="207"/>
    </row>
    <row r="484" spans="2:10">
      <c r="B484" s="198"/>
      <c r="C484" s="199">
        <f>Dat_02!B483</f>
        <v>45924</v>
      </c>
      <c r="D484" s="198"/>
      <c r="E484" s="200">
        <f>Dat_02!C483</f>
        <v>12.261610709065398</v>
      </c>
      <c r="F484" s="200">
        <f>Dat_02!D483</f>
        <v>20.096931654918169</v>
      </c>
      <c r="G484" s="200">
        <f>Dat_02!E483</f>
        <v>12.261610709065398</v>
      </c>
      <c r="I484" s="201">
        <f>Dat_02!G483</f>
        <v>0</v>
      </c>
      <c r="J484" s="207"/>
    </row>
    <row r="485" spans="2:10">
      <c r="B485" s="198"/>
      <c r="C485" s="199">
        <f>Dat_02!B484</f>
        <v>45925</v>
      </c>
      <c r="D485" s="198"/>
      <c r="E485" s="200">
        <f>Dat_02!C484</f>
        <v>30.101534229065393</v>
      </c>
      <c r="F485" s="200">
        <f>Dat_02!D484</f>
        <v>20.096931654918169</v>
      </c>
      <c r="G485" s="200">
        <f>Dat_02!E484</f>
        <v>20.096931654918169</v>
      </c>
      <c r="I485" s="201">
        <f>Dat_02!G484</f>
        <v>0</v>
      </c>
      <c r="J485" s="207"/>
    </row>
    <row r="486" spans="2:10">
      <c r="B486" s="198"/>
      <c r="C486" s="199">
        <f>Dat_02!B485</f>
        <v>45926</v>
      </c>
      <c r="D486" s="198"/>
      <c r="E486" s="200">
        <f>Dat_02!C485</f>
        <v>37.891293065067266</v>
      </c>
      <c r="F486" s="200">
        <f>Dat_02!D485</f>
        <v>20.096931654918169</v>
      </c>
      <c r="G486" s="200">
        <f>Dat_02!E485</f>
        <v>20.096931654918169</v>
      </c>
      <c r="I486" s="201">
        <f>Dat_02!G485</f>
        <v>0</v>
      </c>
      <c r="J486" s="207"/>
    </row>
    <row r="487" spans="2:10">
      <c r="B487" s="198"/>
      <c r="C487" s="199">
        <f>Dat_02!B486</f>
        <v>45927</v>
      </c>
      <c r="D487" s="198"/>
      <c r="E487" s="200">
        <f>Dat_02!C486</f>
        <v>26.846282717067261</v>
      </c>
      <c r="F487" s="200">
        <f>Dat_02!D486</f>
        <v>20.096931654918169</v>
      </c>
      <c r="G487" s="200">
        <f>Dat_02!E486</f>
        <v>20.096931654918169</v>
      </c>
      <c r="I487" s="201">
        <f>Dat_02!G486</f>
        <v>0</v>
      </c>
      <c r="J487" s="207"/>
    </row>
    <row r="488" spans="2:10">
      <c r="B488" s="198"/>
      <c r="C488" s="199">
        <f>Dat_02!B487</f>
        <v>45928</v>
      </c>
      <c r="D488" s="198"/>
      <c r="E488" s="200">
        <f>Dat_02!C487</f>
        <v>6.0124908290653982</v>
      </c>
      <c r="F488" s="200">
        <f>Dat_02!D487</f>
        <v>20.096931654918169</v>
      </c>
      <c r="G488" s="200">
        <f>Dat_02!E487</f>
        <v>6.0124908290653982</v>
      </c>
      <c r="I488" s="201">
        <f>Dat_02!G487</f>
        <v>0</v>
      </c>
      <c r="J488" s="207"/>
    </row>
    <row r="489" spans="2:10">
      <c r="B489" s="198"/>
      <c r="C489" s="199">
        <f>Dat_02!B488</f>
        <v>45929</v>
      </c>
      <c r="D489" s="198"/>
      <c r="E489" s="200">
        <f>Dat_02!C488</f>
        <v>18.017315821067257</v>
      </c>
      <c r="F489" s="200">
        <f>Dat_02!D488</f>
        <v>20.096931654918169</v>
      </c>
      <c r="G489" s="200">
        <f>Dat_02!E488</f>
        <v>18.017315821067257</v>
      </c>
      <c r="I489" s="201">
        <f>Dat_02!G488</f>
        <v>0</v>
      </c>
      <c r="J489" s="207"/>
    </row>
    <row r="490" spans="2:10">
      <c r="B490" s="198"/>
      <c r="C490" s="199">
        <f>Dat_02!B489</f>
        <v>45930</v>
      </c>
      <c r="D490" s="198"/>
      <c r="E490" s="200">
        <f>Dat_02!C489</f>
        <v>31.070505041067257</v>
      </c>
      <c r="F490" s="200">
        <f>Dat_02!D489</f>
        <v>20.096931654918169</v>
      </c>
      <c r="G490" s="200">
        <f>Dat_02!E489</f>
        <v>20.096931654918169</v>
      </c>
      <c r="I490" s="201">
        <f>Dat_02!G489</f>
        <v>0</v>
      </c>
      <c r="J490" s="207"/>
    </row>
    <row r="491" spans="2:10">
      <c r="B491" s="198"/>
      <c r="C491" s="199">
        <f>Dat_02!B490</f>
        <v>45931</v>
      </c>
      <c r="D491" s="198"/>
      <c r="E491" s="200">
        <f>Dat_02!C490</f>
        <v>27.746204055655411</v>
      </c>
      <c r="F491" s="200">
        <f>Dat_02!D490</f>
        <v>43.337721010228627</v>
      </c>
      <c r="G491" s="200">
        <f>Dat_02!E490</f>
        <v>27.746204055655411</v>
      </c>
      <c r="I491" s="201">
        <f>Dat_02!G490</f>
        <v>0</v>
      </c>
      <c r="J491" s="207"/>
    </row>
    <row r="492" spans="2:10">
      <c r="B492" s="198"/>
      <c r="C492" s="199">
        <f>Dat_02!B491</f>
        <v>45932</v>
      </c>
      <c r="D492" s="198"/>
      <c r="E492" s="200">
        <f>Dat_02!C491</f>
        <v>20.303725238655417</v>
      </c>
      <c r="F492" s="200">
        <f>Dat_02!D491</f>
        <v>43.337721010228627</v>
      </c>
      <c r="G492" s="200">
        <f>Dat_02!E491</f>
        <v>20.303725238655417</v>
      </c>
      <c r="I492" s="201">
        <f>Dat_02!G491</f>
        <v>0</v>
      </c>
      <c r="J492" s="207"/>
    </row>
    <row r="493" spans="2:10">
      <c r="B493" s="198"/>
      <c r="C493" s="199">
        <f>Dat_02!B492</f>
        <v>45933</v>
      </c>
      <c r="D493" s="198"/>
      <c r="E493" s="200">
        <f>Dat_02!C492</f>
        <v>20.529555674659132</v>
      </c>
      <c r="F493" s="200">
        <f>Dat_02!D492</f>
        <v>43.337721010228627</v>
      </c>
      <c r="G493" s="200">
        <f>Dat_02!E492</f>
        <v>20.529555674659132</v>
      </c>
      <c r="I493" s="201">
        <f>Dat_02!G492</f>
        <v>0</v>
      </c>
      <c r="J493" s="207"/>
    </row>
    <row r="494" spans="2:10">
      <c r="B494" s="198"/>
      <c r="C494" s="199">
        <f>Dat_02!B493</f>
        <v>45934</v>
      </c>
      <c r="D494" s="198"/>
      <c r="E494" s="200">
        <f>Dat_02!C493</f>
        <v>14.251119198657275</v>
      </c>
      <c r="F494" s="200">
        <f>Dat_02!D493</f>
        <v>43.337721010228627</v>
      </c>
      <c r="G494" s="200">
        <f>Dat_02!E493</f>
        <v>14.251119198657275</v>
      </c>
      <c r="I494" s="201">
        <f>Dat_02!G493</f>
        <v>0</v>
      </c>
      <c r="J494" s="207"/>
    </row>
    <row r="495" spans="2:10">
      <c r="B495" s="198"/>
      <c r="C495" s="199">
        <f>Dat_02!B494</f>
        <v>45935</v>
      </c>
      <c r="D495" s="198"/>
      <c r="E495" s="200">
        <f>Dat_02!C494</f>
        <v>0.9801497546572755</v>
      </c>
      <c r="F495" s="200">
        <f>Dat_02!D494</f>
        <v>43.337721010228627</v>
      </c>
      <c r="G495" s="200">
        <f>Dat_02!E494</f>
        <v>0.9801497546572755</v>
      </c>
      <c r="I495" s="201">
        <f>Dat_02!G494</f>
        <v>0</v>
      </c>
      <c r="J495" s="207"/>
    </row>
    <row r="496" spans="2:10">
      <c r="B496" s="198"/>
      <c r="C496" s="199">
        <f>Dat_02!B495</f>
        <v>45936</v>
      </c>
      <c r="D496" s="198"/>
      <c r="E496" s="200">
        <f>Dat_02!C495</f>
        <v>27.898072389659138</v>
      </c>
      <c r="F496" s="200">
        <f>Dat_02!D495</f>
        <v>43.337721010228627</v>
      </c>
      <c r="G496" s="200">
        <f>Dat_02!E495</f>
        <v>27.898072389659138</v>
      </c>
      <c r="I496" s="201">
        <f>Dat_02!G495</f>
        <v>0</v>
      </c>
      <c r="J496" s="207"/>
    </row>
    <row r="497" spans="2:10">
      <c r="B497" s="198"/>
      <c r="C497" s="199">
        <f>Dat_02!B496</f>
        <v>45937</v>
      </c>
      <c r="D497" s="198"/>
      <c r="E497" s="200">
        <f>Dat_02!C496</f>
        <v>33.149552794655406</v>
      </c>
      <c r="F497" s="200">
        <f>Dat_02!D496</f>
        <v>43.337721010228627</v>
      </c>
      <c r="G497" s="200">
        <f>Dat_02!E496</f>
        <v>33.149552794655406</v>
      </c>
      <c r="I497" s="201">
        <f>Dat_02!G496</f>
        <v>0</v>
      </c>
      <c r="J497" s="207"/>
    </row>
    <row r="498" spans="2:10">
      <c r="B498" s="198"/>
      <c r="C498" s="199">
        <f>Dat_02!B497</f>
        <v>45938</v>
      </c>
      <c r="D498" s="198"/>
      <c r="E498" s="200">
        <f>Dat_02!C497</f>
        <v>35.469150293980334</v>
      </c>
      <c r="F498" s="200">
        <f>Dat_02!D497</f>
        <v>43.337721010228627</v>
      </c>
      <c r="G498" s="200">
        <f>Dat_02!E497</f>
        <v>35.469150293980334</v>
      </c>
      <c r="I498" s="201">
        <f>Dat_02!G497</f>
        <v>0</v>
      </c>
      <c r="J498" s="207"/>
    </row>
    <row r="499" spans="2:10">
      <c r="B499" s="198"/>
      <c r="C499" s="199">
        <f>Dat_02!B498</f>
        <v>45939</v>
      </c>
      <c r="D499" s="198"/>
      <c r="E499" s="200">
        <f>Dat_02!C498</f>
        <v>8.9310006469803263</v>
      </c>
      <c r="F499" s="200">
        <f>Dat_02!D498</f>
        <v>43.337721010228627</v>
      </c>
      <c r="G499" s="200">
        <f>Dat_02!E498</f>
        <v>8.9310006469803263</v>
      </c>
      <c r="I499" s="201">
        <f>Dat_02!G498</f>
        <v>0</v>
      </c>
      <c r="J499" s="207"/>
    </row>
    <row r="500" spans="2:10">
      <c r="B500" s="198"/>
      <c r="C500" s="199">
        <f>Dat_02!B499</f>
        <v>45940</v>
      </c>
      <c r="D500" s="198"/>
      <c r="E500" s="200">
        <f>Dat_02!C499</f>
        <v>6.7232391649821874</v>
      </c>
      <c r="F500" s="200">
        <f>Dat_02!D499</f>
        <v>43.337721010228627</v>
      </c>
      <c r="G500" s="200">
        <f>Dat_02!E499</f>
        <v>6.7232391649821874</v>
      </c>
      <c r="I500" s="201">
        <f>Dat_02!G499</f>
        <v>0</v>
      </c>
      <c r="J500" s="207"/>
    </row>
    <row r="501" spans="2:10">
      <c r="B501" s="198"/>
      <c r="C501" s="199">
        <f>Dat_02!B500</f>
        <v>45941</v>
      </c>
      <c r="D501" s="198"/>
      <c r="E501" s="200">
        <f>Dat_02!C500</f>
        <v>0.8445232579803269</v>
      </c>
      <c r="F501" s="200">
        <f>Dat_02!D500</f>
        <v>43.337721010228627</v>
      </c>
      <c r="G501" s="200">
        <f>Dat_02!E500</f>
        <v>0.8445232579803269</v>
      </c>
      <c r="I501" s="201">
        <f>Dat_02!G500</f>
        <v>0</v>
      </c>
      <c r="J501" s="207"/>
    </row>
    <row r="502" spans="2:10">
      <c r="B502" s="198"/>
      <c r="C502" s="199">
        <f>Dat_02!B501</f>
        <v>45942</v>
      </c>
      <c r="D502" s="198"/>
      <c r="E502" s="200">
        <f>Dat_02!C501</f>
        <v>0.94240763797846738</v>
      </c>
      <c r="F502" s="200">
        <f>Dat_02!D501</f>
        <v>43.337721010228627</v>
      </c>
      <c r="G502" s="200">
        <f>Dat_02!E501</f>
        <v>0.94240763797846738</v>
      </c>
      <c r="I502" s="201">
        <f>Dat_02!G501</f>
        <v>0</v>
      </c>
      <c r="J502" s="207"/>
    </row>
    <row r="503" spans="2:10">
      <c r="B503" s="198"/>
      <c r="C503" s="199">
        <f>Dat_02!B502</f>
        <v>45943</v>
      </c>
      <c r="D503" s="198"/>
      <c r="E503" s="200">
        <f>Dat_02!C502</f>
        <v>20.542116733982184</v>
      </c>
      <c r="F503" s="200">
        <f>Dat_02!D502</f>
        <v>43.337721010228627</v>
      </c>
      <c r="G503" s="200">
        <f>Dat_02!E502</f>
        <v>20.542116733982184</v>
      </c>
      <c r="I503" s="201">
        <f>Dat_02!G502</f>
        <v>0</v>
      </c>
      <c r="J503" s="207"/>
    </row>
    <row r="504" spans="2:10">
      <c r="B504" s="198"/>
      <c r="C504" s="199">
        <f>Dat_02!B503</f>
        <v>45944</v>
      </c>
      <c r="D504" s="198"/>
      <c r="E504" s="200">
        <f>Dat_02!C503</f>
        <v>24.89823804697847</v>
      </c>
      <c r="F504" s="200">
        <f>Dat_02!D503</f>
        <v>43.337721010228627</v>
      </c>
      <c r="G504" s="200">
        <f>Dat_02!E503</f>
        <v>24.89823804697847</v>
      </c>
      <c r="I504" s="201" t="str">
        <f>Dat_02!G503</f>
        <v/>
      </c>
      <c r="J504" s="207"/>
    </row>
    <row r="505" spans="2:10">
      <c r="B505" s="198"/>
      <c r="C505" s="199">
        <f>Dat_02!B504</f>
        <v>45945</v>
      </c>
      <c r="D505" s="198"/>
      <c r="E505" s="200">
        <f>Dat_02!C504</f>
        <v>21.393126561020022</v>
      </c>
      <c r="F505" s="200">
        <f>Dat_02!D504</f>
        <v>43.337721010228627</v>
      </c>
      <c r="G505" s="200">
        <f>Dat_02!E504</f>
        <v>21.393126561020022</v>
      </c>
      <c r="I505" s="201">
        <f>Dat_02!G504</f>
        <v>0</v>
      </c>
      <c r="J505" s="207"/>
    </row>
    <row r="506" spans="2:10">
      <c r="B506" s="198"/>
      <c r="C506" s="199">
        <f>Dat_02!B505</f>
        <v>45946</v>
      </c>
      <c r="D506" s="198"/>
      <c r="E506" s="200">
        <f>Dat_02!C505</f>
        <v>14.410976650018158</v>
      </c>
      <c r="F506" s="200">
        <f>Dat_02!D505</f>
        <v>43.337721010228627</v>
      </c>
      <c r="G506" s="200">
        <f>Dat_02!E505</f>
        <v>14.410976650018158</v>
      </c>
      <c r="I506" s="201">
        <f>Dat_02!G505</f>
        <v>0</v>
      </c>
      <c r="J506" s="207"/>
    </row>
    <row r="507" spans="2:10">
      <c r="B507" s="198"/>
      <c r="C507" s="199">
        <f>Dat_02!B506</f>
        <v>45947</v>
      </c>
      <c r="D507" s="198"/>
      <c r="E507" s="200">
        <f>Dat_02!C506</f>
        <v>10.265706714020023</v>
      </c>
      <c r="F507" s="200">
        <f>Dat_02!D506</f>
        <v>43.337721010228627</v>
      </c>
      <c r="G507" s="200">
        <f>Dat_02!E506</f>
        <v>10.265706714020023</v>
      </c>
      <c r="I507" s="201">
        <f>Dat_02!G506</f>
        <v>0</v>
      </c>
      <c r="J507" s="207"/>
    </row>
    <row r="508" spans="2:10">
      <c r="B508" s="198"/>
      <c r="C508" s="199">
        <f>Dat_02!B507</f>
        <v>45948</v>
      </c>
      <c r="D508" s="198"/>
      <c r="E508" s="200">
        <f>Dat_02!C507</f>
        <v>12.446014266016297</v>
      </c>
      <c r="F508" s="200">
        <f>Dat_02!D507</f>
        <v>43.337721010228627</v>
      </c>
      <c r="G508" s="200">
        <f>Dat_02!E507</f>
        <v>12.446014266016297</v>
      </c>
      <c r="I508" s="201">
        <f>Dat_02!G507</f>
        <v>0</v>
      </c>
      <c r="J508" s="207"/>
    </row>
    <row r="509" spans="2:10">
      <c r="B509" s="198"/>
      <c r="C509" s="199">
        <f>Dat_02!B508</f>
        <v>45949</v>
      </c>
      <c r="D509" s="198"/>
      <c r="E509" s="200">
        <f>Dat_02!C508</f>
        <v>1.1078882780200183</v>
      </c>
      <c r="F509" s="200">
        <f>Dat_02!D508</f>
        <v>43.337721010228627</v>
      </c>
      <c r="G509" s="200">
        <f>Dat_02!E508</f>
        <v>1.1078882780200183</v>
      </c>
      <c r="I509" s="201">
        <f>Dat_02!G508</f>
        <v>0</v>
      </c>
      <c r="J509" s="207"/>
    </row>
    <row r="510" spans="2:10">
      <c r="B510" s="198"/>
      <c r="C510" s="199">
        <f>Dat_02!B509</f>
        <v>45950</v>
      </c>
      <c r="D510" s="198"/>
      <c r="E510" s="200">
        <f>Dat_02!C509</f>
        <v>0.65396796601815732</v>
      </c>
      <c r="F510" s="200">
        <f>Dat_02!D509</f>
        <v>43.337721010228627</v>
      </c>
      <c r="G510" s="200">
        <f>Dat_02!E509</f>
        <v>0.65396796601815732</v>
      </c>
      <c r="I510" s="201">
        <f>Dat_02!G509</f>
        <v>0</v>
      </c>
      <c r="J510" s="207"/>
    </row>
    <row r="511" spans="2:10">
      <c r="B511" s="198"/>
      <c r="C511" s="199">
        <f>Dat_02!B510</f>
        <v>45951</v>
      </c>
      <c r="D511" s="198"/>
      <c r="E511" s="200">
        <f>Dat_02!C510</f>
        <v>1.5265814540200227</v>
      </c>
      <c r="F511" s="200">
        <f>Dat_02!D510</f>
        <v>43.337721010228627</v>
      </c>
      <c r="G511" s="200">
        <f>Dat_02!E510</f>
        <v>1.5265814540200227</v>
      </c>
      <c r="I511" s="201">
        <f>Dat_02!G510</f>
        <v>0</v>
      </c>
      <c r="J511" s="207"/>
    </row>
    <row r="512" spans="2:10">
      <c r="B512" s="198"/>
      <c r="C512" s="199">
        <f>Dat_02!B511</f>
        <v>45952</v>
      </c>
      <c r="D512" s="198"/>
      <c r="E512" s="200">
        <f>Dat_02!C511</f>
        <v>5.4675888744298424</v>
      </c>
      <c r="F512" s="200">
        <f>Dat_02!D511</f>
        <v>43.337721010228627</v>
      </c>
      <c r="G512" s="200">
        <f>Dat_02!E511</f>
        <v>5.4675888744298424</v>
      </c>
      <c r="I512" s="201">
        <f>Dat_02!G511</f>
        <v>0</v>
      </c>
      <c r="J512" s="207"/>
    </row>
    <row r="513" spans="2:10">
      <c r="B513" s="198"/>
      <c r="C513" s="199">
        <f>Dat_02!B512</f>
        <v>45953</v>
      </c>
      <c r="D513" s="198"/>
      <c r="E513" s="200">
        <f>Dat_02!C512</f>
        <v>1.0800620864317025</v>
      </c>
      <c r="F513" s="200">
        <f>Dat_02!D512</f>
        <v>43.337721010228627</v>
      </c>
      <c r="G513" s="200">
        <f>Dat_02!E512</f>
        <v>1.0800620864317025</v>
      </c>
      <c r="I513" s="201">
        <f>Dat_02!G512</f>
        <v>0</v>
      </c>
      <c r="J513" s="207"/>
    </row>
    <row r="514" spans="2:10">
      <c r="B514" s="198"/>
      <c r="C514" s="199">
        <f>Dat_02!B513</f>
        <v>45954</v>
      </c>
      <c r="D514" s="198"/>
      <c r="E514" s="200">
        <f>Dat_02!C513</f>
        <v>37.674494370431702</v>
      </c>
      <c r="F514" s="200">
        <f>Dat_02!D513</f>
        <v>43.337721010228627</v>
      </c>
      <c r="G514" s="200">
        <f>Dat_02!E513</f>
        <v>37.674494370431702</v>
      </c>
      <c r="I514" s="201">
        <f>Dat_02!G513</f>
        <v>0</v>
      </c>
      <c r="J514" s="207"/>
    </row>
    <row r="515" spans="2:10">
      <c r="B515" s="198"/>
      <c r="C515" s="199">
        <f>Dat_02!B514</f>
        <v>45955</v>
      </c>
      <c r="D515" s="198"/>
      <c r="E515" s="200">
        <f>Dat_02!C514</f>
        <v>35.987860658427977</v>
      </c>
      <c r="F515" s="200">
        <f>Dat_02!D514</f>
        <v>43.337721010228627</v>
      </c>
      <c r="G515" s="200">
        <f>Dat_02!E514</f>
        <v>35.987860658427977</v>
      </c>
      <c r="I515" s="201">
        <f>Dat_02!G514</f>
        <v>0</v>
      </c>
      <c r="J515" s="207"/>
    </row>
    <row r="516" spans="2:10">
      <c r="B516" s="198"/>
      <c r="C516" s="199">
        <f>Dat_02!B515</f>
        <v>45956</v>
      </c>
      <c r="D516" s="198"/>
      <c r="E516" s="200">
        <f>Dat_02!C515</f>
        <v>9.4288872184317007</v>
      </c>
      <c r="F516" s="200">
        <f>Dat_02!D515</f>
        <v>43.337721010228627</v>
      </c>
      <c r="G516" s="200">
        <f>Dat_02!E515</f>
        <v>9.4288872184317007</v>
      </c>
      <c r="I516" s="201">
        <f>Dat_02!G515</f>
        <v>0</v>
      </c>
      <c r="J516" s="207"/>
    </row>
    <row r="517" spans="2:10">
      <c r="B517" s="198"/>
      <c r="C517" s="199">
        <f>Dat_02!B516</f>
        <v>45957</v>
      </c>
      <c r="D517" s="198"/>
      <c r="E517" s="200">
        <f>Dat_02!C516</f>
        <v>32.528654106431709</v>
      </c>
      <c r="F517" s="200">
        <f>Dat_02!D516</f>
        <v>43.337721010228627</v>
      </c>
      <c r="G517" s="200">
        <f>Dat_02!E516</f>
        <v>32.528654106431709</v>
      </c>
      <c r="I517" s="201">
        <f>Dat_02!G516</f>
        <v>0</v>
      </c>
      <c r="J517" s="207"/>
    </row>
    <row r="518" spans="2:10">
      <c r="B518" s="198"/>
      <c r="C518" s="199">
        <f>Dat_02!B517</f>
        <v>45958</v>
      </c>
      <c r="D518" s="198"/>
      <c r="E518" s="200">
        <f>Dat_02!C517</f>
        <v>34.8785735104317</v>
      </c>
      <c r="F518" s="200">
        <f>Dat_02!D517</f>
        <v>43.337721010228627</v>
      </c>
      <c r="G518" s="200">
        <f>Dat_02!E517</f>
        <v>34.8785735104317</v>
      </c>
      <c r="I518" s="201">
        <f>Dat_02!G517</f>
        <v>0</v>
      </c>
      <c r="J518" s="207"/>
    </row>
    <row r="519" spans="2:10">
      <c r="B519" s="198"/>
      <c r="C519" s="199">
        <f>Dat_02!B518</f>
        <v>45959</v>
      </c>
      <c r="D519" s="198"/>
      <c r="E519" s="200">
        <f>Dat_02!C518</f>
        <v>45.977988408789201</v>
      </c>
      <c r="F519" s="200">
        <f>Dat_02!D518</f>
        <v>43.337721010228627</v>
      </c>
      <c r="G519" s="200">
        <f>Dat_02!E518</f>
        <v>43.337721010228627</v>
      </c>
      <c r="I519" s="201">
        <f>Dat_02!G518</f>
        <v>0</v>
      </c>
      <c r="J519" s="207"/>
    </row>
    <row r="520" spans="2:10">
      <c r="B520" s="198"/>
      <c r="C520" s="199">
        <f>Dat_02!B519</f>
        <v>45960</v>
      </c>
      <c r="D520" s="198"/>
      <c r="E520" s="200">
        <f>Dat_02!C519</f>
        <v>37.268005940792925</v>
      </c>
      <c r="F520" s="200">
        <f>Dat_02!D519</f>
        <v>43.337721010228627</v>
      </c>
      <c r="G520" s="200">
        <f>Dat_02!E519</f>
        <v>37.268005940792925</v>
      </c>
      <c r="I520" s="201">
        <f>Dat_02!G519</f>
        <v>0</v>
      </c>
      <c r="J520" s="207"/>
    </row>
    <row r="521" spans="2:10">
      <c r="B521" s="198"/>
      <c r="C521" s="199">
        <f>Dat_02!B520</f>
        <v>45961</v>
      </c>
      <c r="D521" s="198"/>
      <c r="E521" s="200">
        <f>Dat_02!C520</f>
        <v>21.037160460791064</v>
      </c>
      <c r="F521" s="200">
        <f>Dat_02!D520</f>
        <v>43.337721010228627</v>
      </c>
      <c r="G521" s="200">
        <f>Dat_02!E520</f>
        <v>21.037160460791064</v>
      </c>
      <c r="I521" s="201">
        <f>Dat_02!G520</f>
        <v>0</v>
      </c>
      <c r="J521" s="207"/>
    </row>
    <row r="522" spans="2:10">
      <c r="B522" s="198"/>
      <c r="C522" s="199">
        <f>Dat_02!B521</f>
        <v>45962</v>
      </c>
      <c r="D522" s="198"/>
      <c r="E522" s="200">
        <f>Dat_02!C521</f>
        <v>18.258551112792919</v>
      </c>
      <c r="F522" s="200">
        <f>Dat_02!D521</f>
        <v>82.357864438204317</v>
      </c>
      <c r="G522" s="200">
        <f>Dat_02!E521</f>
        <v>18.258551112792919</v>
      </c>
      <c r="I522" s="201">
        <f>Dat_02!G521</f>
        <v>0</v>
      </c>
      <c r="J522" s="207"/>
    </row>
    <row r="523" spans="2:10">
      <c r="B523" s="198"/>
      <c r="C523" s="199">
        <f>Dat_02!B522</f>
        <v>45963</v>
      </c>
      <c r="D523" s="198"/>
      <c r="E523" s="200">
        <f>Dat_02!C522</f>
        <v>9.4054813527910586</v>
      </c>
      <c r="F523" s="200">
        <f>Dat_02!D522</f>
        <v>82.357864438204317</v>
      </c>
      <c r="G523" s="200">
        <f>Dat_02!E522</f>
        <v>9.4054813527910586</v>
      </c>
      <c r="I523" s="201">
        <f>Dat_02!G522</f>
        <v>0</v>
      </c>
      <c r="J523" s="207"/>
    </row>
    <row r="524" spans="2:10">
      <c r="B524" s="198"/>
      <c r="C524" s="199">
        <f>Dat_02!B523</f>
        <v>45964</v>
      </c>
      <c r="D524" s="198"/>
      <c r="E524" s="200">
        <f>Dat_02!C523</f>
        <v>38.726539824791061</v>
      </c>
      <c r="F524" s="200">
        <f>Dat_02!D523</f>
        <v>82.357864438204317</v>
      </c>
      <c r="G524" s="200">
        <f>Dat_02!E523</f>
        <v>38.726539824791061</v>
      </c>
      <c r="I524" s="201">
        <f>Dat_02!G523</f>
        <v>0</v>
      </c>
      <c r="J524" s="207"/>
    </row>
    <row r="525" spans="2:10">
      <c r="B525" s="198"/>
      <c r="C525" s="199">
        <f>Dat_02!B524</f>
        <v>45965</v>
      </c>
      <c r="D525" s="198"/>
      <c r="E525" s="200">
        <f>Dat_02!C524</f>
        <v>26.215021088791058</v>
      </c>
      <c r="F525" s="200">
        <f>Dat_02!D524</f>
        <v>82.357864438204317</v>
      </c>
      <c r="G525" s="200">
        <f>Dat_02!E524</f>
        <v>26.215021088791058</v>
      </c>
      <c r="I525" s="201">
        <f>Dat_02!G524</f>
        <v>0</v>
      </c>
      <c r="J525" s="207"/>
    </row>
    <row r="526" spans="2:10">
      <c r="B526" s="198"/>
      <c r="C526" s="199">
        <f>Dat_02!B525</f>
        <v>45966</v>
      </c>
      <c r="D526" s="198"/>
      <c r="E526" s="200">
        <f>Dat_02!C525</f>
        <v>32.276479210904796</v>
      </c>
      <c r="F526" s="200">
        <f>Dat_02!D525</f>
        <v>82.357864438204317</v>
      </c>
      <c r="G526" s="200">
        <f>Dat_02!E525</f>
        <v>32.276479210904796</v>
      </c>
      <c r="I526" s="201">
        <f>Dat_02!G525</f>
        <v>0</v>
      </c>
      <c r="J526" s="207"/>
    </row>
    <row r="527" spans="2:10">
      <c r="B527" s="198"/>
      <c r="C527" s="199">
        <f>Dat_02!B526</f>
        <v>45967</v>
      </c>
      <c r="D527" s="198"/>
      <c r="E527" s="200">
        <f>Dat_02!C526</f>
        <v>42.908423434906659</v>
      </c>
      <c r="F527" s="200">
        <f>Dat_02!D526</f>
        <v>82.357864438204317</v>
      </c>
      <c r="G527" s="200">
        <f>Dat_02!E526</f>
        <v>42.908423434906659</v>
      </c>
      <c r="I527" s="201">
        <f>Dat_02!G526</f>
        <v>0</v>
      </c>
      <c r="J527" s="207"/>
    </row>
    <row r="528" spans="2:10">
      <c r="B528" s="198"/>
      <c r="C528" s="199">
        <f>Dat_02!B527</f>
        <v>45968</v>
      </c>
      <c r="D528" s="198"/>
      <c r="E528" s="200">
        <f>Dat_02!C527</f>
        <v>71.095897382904809</v>
      </c>
      <c r="F528" s="200">
        <f>Dat_02!D527</f>
        <v>82.357864438204317</v>
      </c>
      <c r="G528" s="200">
        <f>Dat_02!E527</f>
        <v>71.095897382904809</v>
      </c>
      <c r="I528" s="201">
        <f>Dat_02!G527</f>
        <v>0</v>
      </c>
      <c r="J528" s="207"/>
    </row>
    <row r="529" spans="2:10">
      <c r="B529" s="198"/>
      <c r="C529" s="199">
        <f>Dat_02!B528</f>
        <v>45969</v>
      </c>
      <c r="D529" s="198"/>
      <c r="E529" s="200">
        <f>Dat_02!C528</f>
        <v>47.45829990290666</v>
      </c>
      <c r="F529" s="200">
        <f>Dat_02!D528</f>
        <v>82.357864438204317</v>
      </c>
      <c r="G529" s="200">
        <f>Dat_02!E528</f>
        <v>47.45829990290666</v>
      </c>
      <c r="I529" s="201">
        <f>Dat_02!G528</f>
        <v>0</v>
      </c>
      <c r="J529" s="207"/>
    </row>
    <row r="530" spans="2:10">
      <c r="B530" s="198"/>
      <c r="C530" s="199">
        <f>Dat_02!B529</f>
        <v>45970</v>
      </c>
      <c r="D530" s="198"/>
      <c r="E530" s="200">
        <f>Dat_02!C529</f>
        <v>55.128240406906663</v>
      </c>
      <c r="F530" s="200">
        <f>Dat_02!D529</f>
        <v>82.357864438204317</v>
      </c>
      <c r="G530" s="200">
        <f>Dat_02!E529</f>
        <v>55.128240406906663</v>
      </c>
      <c r="I530" s="201">
        <f>Dat_02!G529</f>
        <v>0</v>
      </c>
      <c r="J530" s="207"/>
    </row>
    <row r="531" spans="2:10">
      <c r="B531" s="198"/>
      <c r="C531" s="199">
        <f>Dat_02!B530</f>
        <v>45971</v>
      </c>
      <c r="D531" s="198"/>
      <c r="E531" s="200">
        <f>Dat_02!C530</f>
        <v>84.207346098904807</v>
      </c>
      <c r="F531" s="200">
        <f>Dat_02!D530</f>
        <v>82.357864438204317</v>
      </c>
      <c r="G531" s="200">
        <f>Dat_02!E530</f>
        <v>82.357864438204317</v>
      </c>
      <c r="I531" s="201">
        <f>Dat_02!G530</f>
        <v>0</v>
      </c>
      <c r="J531" s="207"/>
    </row>
    <row r="532" spans="2:10">
      <c r="B532" s="198"/>
      <c r="C532" s="199">
        <f>Dat_02!B531</f>
        <v>45972</v>
      </c>
      <c r="D532" s="198"/>
      <c r="E532" s="200">
        <f>Dat_02!C531</f>
        <v>63.072944074906665</v>
      </c>
      <c r="F532" s="200">
        <f>Dat_02!D531</f>
        <v>82.357864438204317</v>
      </c>
      <c r="G532" s="200">
        <f>Dat_02!E531</f>
        <v>63.072944074906665</v>
      </c>
      <c r="I532" s="201">
        <f>Dat_02!G531</f>
        <v>0</v>
      </c>
      <c r="J532" s="207"/>
    </row>
    <row r="533" spans="2:10">
      <c r="B533" s="198"/>
      <c r="C533" s="199">
        <f>Dat_02!B532</f>
        <v>45973</v>
      </c>
      <c r="D533" s="198"/>
      <c r="E533" s="200">
        <f>Dat_02!C532</f>
        <v>99.469765719958872</v>
      </c>
      <c r="F533" s="200">
        <f>Dat_02!D532</f>
        <v>82.357864438204317</v>
      </c>
      <c r="G533" s="200">
        <f>Dat_02!E532</f>
        <v>82.357864438204317</v>
      </c>
      <c r="I533" s="201">
        <f>Dat_02!G532</f>
        <v>0</v>
      </c>
      <c r="J533" s="207"/>
    </row>
    <row r="534" spans="2:10">
      <c r="B534" s="198"/>
      <c r="C534" s="199">
        <f>Dat_02!B533</f>
        <v>45974</v>
      </c>
      <c r="D534" s="198"/>
      <c r="E534" s="200">
        <f>Dat_02!C533</f>
        <v>109.47637719995888</v>
      </c>
      <c r="F534" s="200">
        <f>Dat_02!D533</f>
        <v>82.357864438204317</v>
      </c>
      <c r="G534" s="200">
        <f>Dat_02!E533</f>
        <v>82.357864438204317</v>
      </c>
      <c r="I534" s="201">
        <f>Dat_02!G533</f>
        <v>0</v>
      </c>
      <c r="J534" s="207"/>
    </row>
    <row r="535" spans="2:10">
      <c r="B535" s="198"/>
      <c r="C535" s="199">
        <f>Dat_02!B534</f>
        <v>45975</v>
      </c>
      <c r="D535" s="198"/>
      <c r="E535" s="200">
        <f>Dat_02!C534</f>
        <v>108.85852181195887</v>
      </c>
      <c r="F535" s="200">
        <f>Dat_02!D534</f>
        <v>82.357864438204317</v>
      </c>
      <c r="G535" s="200">
        <f>Dat_02!E534</f>
        <v>82.357864438204317</v>
      </c>
      <c r="I535" s="201" t="str">
        <f>Dat_02!G534</f>
        <v/>
      </c>
      <c r="J535" s="207"/>
    </row>
    <row r="536" spans="2:10">
      <c r="B536" s="198"/>
      <c r="C536" s="199">
        <f>Dat_02!B535</f>
        <v>45976</v>
      </c>
      <c r="D536" s="198"/>
      <c r="E536" s="200">
        <f>Dat_02!C535</f>
        <v>117.35213305995887</v>
      </c>
      <c r="F536" s="200">
        <f>Dat_02!D535</f>
        <v>82.357864438204317</v>
      </c>
      <c r="G536" s="200">
        <f>Dat_02!E535</f>
        <v>82.357864438204317</v>
      </c>
      <c r="I536" s="201">
        <f>Dat_02!G535</f>
        <v>0</v>
      </c>
      <c r="J536" s="207"/>
    </row>
    <row r="537" spans="2:10">
      <c r="B537" s="198"/>
      <c r="C537" s="199">
        <f>Dat_02!B536</f>
        <v>45977</v>
      </c>
      <c r="D537" s="198"/>
      <c r="E537" s="200">
        <f>Dat_02!C536</f>
        <v>119.62128931595889</v>
      </c>
      <c r="F537" s="200">
        <f>Dat_02!D536</f>
        <v>82.357864438204317</v>
      </c>
      <c r="G537" s="200">
        <f>Dat_02!E536</f>
        <v>82.357864438204317</v>
      </c>
      <c r="I537" s="201">
        <f>Dat_02!G536</f>
        <v>0</v>
      </c>
      <c r="J537" s="207"/>
    </row>
    <row r="538" spans="2:10">
      <c r="B538" s="198"/>
      <c r="C538" s="199">
        <f>Dat_02!B537</f>
        <v>45978</v>
      </c>
      <c r="D538" s="198"/>
      <c r="E538" s="200">
        <f>Dat_02!C537</f>
        <v>139.89352868395886</v>
      </c>
      <c r="F538" s="200">
        <f>Dat_02!D537</f>
        <v>82.357864438204317</v>
      </c>
      <c r="G538" s="200">
        <f>Dat_02!E537</f>
        <v>82.357864438204317</v>
      </c>
      <c r="I538" s="201">
        <f>Dat_02!G537</f>
        <v>0</v>
      </c>
      <c r="J538" s="207"/>
    </row>
    <row r="539" spans="2:10">
      <c r="B539" s="198"/>
      <c r="C539" s="199">
        <f>Dat_02!B538</f>
        <v>45979</v>
      </c>
      <c r="D539" s="198"/>
      <c r="E539" s="200">
        <f>Dat_02!C538</f>
        <v>138.29056451996072</v>
      </c>
      <c r="F539" s="200">
        <f>Dat_02!D538</f>
        <v>82.357864438204317</v>
      </c>
      <c r="G539" s="200">
        <f>Dat_02!E538</f>
        <v>82.357864438204317</v>
      </c>
      <c r="I539" s="201">
        <f>Dat_02!G538</f>
        <v>0</v>
      </c>
      <c r="J539" s="207"/>
    </row>
    <row r="540" spans="2:10">
      <c r="B540" s="198"/>
      <c r="C540" s="199">
        <f>Dat_02!B539</f>
        <v>45980</v>
      </c>
      <c r="D540" s="198"/>
      <c r="E540" s="200">
        <f>Dat_02!C539</f>
        <v>120.09712795010759</v>
      </c>
      <c r="F540" s="200">
        <f>Dat_02!D539</f>
        <v>82.357864438204317</v>
      </c>
      <c r="G540" s="200">
        <f>Dat_02!E539</f>
        <v>82.357864438204317</v>
      </c>
      <c r="I540" s="201">
        <f>Dat_02!G539</f>
        <v>0</v>
      </c>
      <c r="J540" s="207"/>
    </row>
    <row r="541" spans="2:10">
      <c r="B541" s="198"/>
      <c r="C541" s="199">
        <f>Dat_02!B540</f>
        <v>45981</v>
      </c>
      <c r="D541" s="198"/>
      <c r="E541" s="200">
        <f>Dat_02!C540</f>
        <v>108.98283646210758</v>
      </c>
      <c r="F541" s="200">
        <f>Dat_02!D540</f>
        <v>82.357864438204317</v>
      </c>
      <c r="G541" s="200">
        <f>Dat_02!E540</f>
        <v>82.357864438204317</v>
      </c>
      <c r="I541" s="201">
        <f>Dat_02!G540</f>
        <v>0</v>
      </c>
      <c r="J541" s="207"/>
    </row>
    <row r="542" spans="2:10">
      <c r="B542" s="198"/>
      <c r="C542" s="199">
        <f>Dat_02!B541</f>
        <v>45982</v>
      </c>
      <c r="D542" s="198"/>
      <c r="E542" s="200">
        <f>Dat_02!C541</f>
        <v>105.42105569810759</v>
      </c>
      <c r="F542" s="200">
        <f>Dat_02!D541</f>
        <v>82.357864438204317</v>
      </c>
      <c r="G542" s="200">
        <f>Dat_02!E541</f>
        <v>82.357864438204317</v>
      </c>
      <c r="I542" s="201">
        <f>Dat_02!G541</f>
        <v>0</v>
      </c>
      <c r="J542" s="207"/>
    </row>
    <row r="543" spans="2:10">
      <c r="B543" s="198"/>
      <c r="C543" s="199">
        <f>Dat_02!B542</f>
        <v>45983</v>
      </c>
      <c r="D543" s="198"/>
      <c r="E543" s="200">
        <f>Dat_02!C542</f>
        <v>95.949400002107595</v>
      </c>
      <c r="F543" s="200">
        <f>Dat_02!D542</f>
        <v>82.357864438204317</v>
      </c>
      <c r="G543" s="200">
        <f>Dat_02!E542</f>
        <v>82.357864438204317</v>
      </c>
      <c r="I543" s="201">
        <f>Dat_02!G542</f>
        <v>0</v>
      </c>
      <c r="J543" s="207"/>
    </row>
    <row r="544" spans="2:10">
      <c r="B544" s="198"/>
      <c r="C544" s="199">
        <f>Dat_02!B543</f>
        <v>45984</v>
      </c>
      <c r="D544" s="198"/>
      <c r="E544" s="200">
        <f>Dat_02!C543</f>
        <v>80.399772578107587</v>
      </c>
      <c r="F544" s="200">
        <f>Dat_02!D543</f>
        <v>82.357864438204317</v>
      </c>
      <c r="G544" s="200">
        <f>Dat_02!E543</f>
        <v>80.399772578107587</v>
      </c>
      <c r="I544" s="201">
        <f>Dat_02!G543</f>
        <v>0</v>
      </c>
      <c r="J544" s="207"/>
    </row>
    <row r="545" spans="2:10">
      <c r="B545" s="198"/>
      <c r="C545" s="199">
        <f>Dat_02!B544</f>
        <v>45985</v>
      </c>
      <c r="D545" s="198"/>
      <c r="E545" s="200">
        <f>Dat_02!C544</f>
        <v>76.287765526107606</v>
      </c>
      <c r="F545" s="200">
        <f>Dat_02!D544</f>
        <v>82.357864438204317</v>
      </c>
      <c r="G545" s="200">
        <f>Dat_02!E544</f>
        <v>76.287765526107606</v>
      </c>
      <c r="I545" s="201">
        <f>Dat_02!G544</f>
        <v>0</v>
      </c>
      <c r="J545" s="207"/>
    </row>
    <row r="546" spans="2:10">
      <c r="B546" s="198"/>
      <c r="C546" s="199">
        <f>Dat_02!B545</f>
        <v>45986</v>
      </c>
      <c r="D546" s="198"/>
      <c r="E546" s="200">
        <f>Dat_02!C545</f>
        <v>84.538143318109448</v>
      </c>
      <c r="F546" s="200">
        <f>Dat_02!D545</f>
        <v>82.357864438204317</v>
      </c>
      <c r="G546" s="200">
        <f>Dat_02!E545</f>
        <v>82.357864438204317</v>
      </c>
      <c r="I546" s="201">
        <f>Dat_02!G545</f>
        <v>0</v>
      </c>
      <c r="J546" s="207"/>
    </row>
    <row r="547" spans="2:10">
      <c r="B547" s="198"/>
      <c r="C547" s="199">
        <f>Dat_02!B546</f>
        <v>45987</v>
      </c>
      <c r="D547" s="198"/>
      <c r="E547" s="200">
        <f>Dat_02!C546</f>
        <v>90.684440992273366</v>
      </c>
      <c r="F547" s="200">
        <f>Dat_02!D546</f>
        <v>82.357864438204317</v>
      </c>
      <c r="G547" s="200">
        <f>Dat_02!E546</f>
        <v>82.357864438204317</v>
      </c>
      <c r="I547" s="201">
        <f>Dat_02!G546</f>
        <v>0</v>
      </c>
      <c r="J547" s="207"/>
    </row>
    <row r="548" spans="2:10">
      <c r="B548" s="198"/>
      <c r="C548" s="199">
        <f>Dat_02!B547</f>
        <v>45988</v>
      </c>
      <c r="D548" s="198"/>
      <c r="E548" s="200">
        <f>Dat_02!C547</f>
        <v>109.85750236427336</v>
      </c>
      <c r="F548" s="200">
        <f>Dat_02!D547</f>
        <v>82.357864438204317</v>
      </c>
      <c r="G548" s="200">
        <f>Dat_02!E547</f>
        <v>82.357864438204317</v>
      </c>
      <c r="I548" s="201">
        <f>Dat_02!G547</f>
        <v>0</v>
      </c>
      <c r="J548" s="207"/>
    </row>
    <row r="549" spans="2:10">
      <c r="B549" s="198"/>
      <c r="C549" s="199">
        <f>Dat_02!B548</f>
        <v>45989</v>
      </c>
      <c r="D549" s="198"/>
      <c r="E549" s="200">
        <f>Dat_02!C548</f>
        <v>121.55350244827522</v>
      </c>
      <c r="F549" s="200">
        <f>Dat_02!D548</f>
        <v>82.357864438204317</v>
      </c>
      <c r="G549" s="200">
        <f>Dat_02!E548</f>
        <v>82.357864438204317</v>
      </c>
      <c r="I549" s="201">
        <f>Dat_02!G548</f>
        <v>0</v>
      </c>
      <c r="J549" s="207"/>
    </row>
    <row r="550" spans="2:10">
      <c r="B550" s="198"/>
      <c r="C550" s="199">
        <f>Dat_02!B549</f>
        <v>45990</v>
      </c>
      <c r="D550" s="198"/>
      <c r="E550" s="200">
        <f>Dat_02!C549</f>
        <v>89.540681420273344</v>
      </c>
      <c r="F550" s="200">
        <f>Dat_02!D549</f>
        <v>82.357864438204317</v>
      </c>
      <c r="G550" s="200">
        <f>Dat_02!E549</f>
        <v>82.357864438204317</v>
      </c>
      <c r="I550" s="201">
        <f>Dat_02!G549</f>
        <v>0</v>
      </c>
      <c r="J550" s="207"/>
    </row>
    <row r="551" spans="2:10">
      <c r="B551" s="198"/>
      <c r="C551" s="199">
        <f>Dat_02!B550</f>
        <v>45991</v>
      </c>
      <c r="D551" s="198"/>
      <c r="E551" s="200">
        <f>Dat_02!C550</f>
        <v>70.624009588275214</v>
      </c>
      <c r="F551" s="200">
        <f>Dat_02!D550</f>
        <v>82.357864438204317</v>
      </c>
      <c r="G551" s="200">
        <f>Dat_02!E550</f>
        <v>70.624009588275214</v>
      </c>
      <c r="I551" s="201">
        <f>Dat_02!G550</f>
        <v>0</v>
      </c>
      <c r="J551" s="207"/>
    </row>
    <row r="552" spans="2:10">
      <c r="B552" s="198"/>
      <c r="C552" s="199">
        <f>Dat_02!B551</f>
        <v>45992</v>
      </c>
      <c r="D552" s="198"/>
      <c r="E552" s="200">
        <f>Dat_02!C551</f>
        <v>97.901718364271488</v>
      </c>
      <c r="F552" s="200">
        <f>Dat_02!D551</f>
        <v>105.05542662095111</v>
      </c>
      <c r="G552" s="200">
        <f>Dat_02!E551</f>
        <v>97.901718364271488</v>
      </c>
      <c r="I552" s="201">
        <f>Dat_02!G551</f>
        <v>0</v>
      </c>
      <c r="J552" s="207"/>
    </row>
    <row r="553" spans="2:10">
      <c r="B553" s="198"/>
      <c r="C553" s="199">
        <f>Dat_02!B552</f>
        <v>45993</v>
      </c>
      <c r="D553" s="198"/>
      <c r="E553" s="200">
        <f>Dat_02!C552</f>
        <v>114.38635698427709</v>
      </c>
      <c r="F553" s="200">
        <f>Dat_02!D552</f>
        <v>105.05542662095111</v>
      </c>
      <c r="G553" s="200">
        <f>Dat_02!E552</f>
        <v>105.05542662095111</v>
      </c>
      <c r="I553" s="201">
        <f>Dat_02!G552</f>
        <v>0</v>
      </c>
      <c r="J553" s="207"/>
    </row>
    <row r="554" spans="2:10">
      <c r="B554" s="198"/>
      <c r="C554" s="199">
        <f>Dat_02!B553</f>
        <v>45994</v>
      </c>
      <c r="D554" s="198"/>
      <c r="E554" s="200">
        <f>Dat_02!C553</f>
        <v>115.95279221025977</v>
      </c>
      <c r="F554" s="200">
        <f>Dat_02!D553</f>
        <v>105.05542662095111</v>
      </c>
      <c r="G554" s="200">
        <f>Dat_02!E553</f>
        <v>105.05542662095111</v>
      </c>
      <c r="I554" s="201">
        <f>Dat_02!G553</f>
        <v>0</v>
      </c>
      <c r="J554" s="207"/>
    </row>
    <row r="555" spans="2:10">
      <c r="B555" s="198"/>
      <c r="C555" s="199">
        <f>Dat_02!B554</f>
        <v>45995</v>
      </c>
      <c r="D555" s="198"/>
      <c r="E555" s="200">
        <f>Dat_02!C554</f>
        <v>107.90464700226349</v>
      </c>
      <c r="F555" s="200">
        <f>Dat_02!D554</f>
        <v>105.05542662095111</v>
      </c>
      <c r="G555" s="200">
        <f>Dat_02!E554</f>
        <v>105.05542662095111</v>
      </c>
      <c r="I555" s="201">
        <f>Dat_02!G554</f>
        <v>0</v>
      </c>
      <c r="J555" s="207"/>
    </row>
    <row r="556" spans="2:10">
      <c r="B556" s="198"/>
      <c r="C556" s="199">
        <f>Dat_02!B555</f>
        <v>45996</v>
      </c>
      <c r="D556" s="198"/>
      <c r="E556" s="200">
        <f>Dat_02!C555</f>
        <v>98.86733135026536</v>
      </c>
      <c r="F556" s="200">
        <f>Dat_02!D555</f>
        <v>105.05542662095111</v>
      </c>
      <c r="G556" s="200">
        <f>Dat_02!E555</f>
        <v>98.86733135026536</v>
      </c>
      <c r="I556" s="201">
        <f>Dat_02!G555</f>
        <v>0</v>
      </c>
      <c r="J556" s="207"/>
    </row>
    <row r="557" spans="2:10">
      <c r="B557" s="198"/>
      <c r="C557" s="199">
        <f>Dat_02!B556</f>
        <v>45997</v>
      </c>
      <c r="D557" s="198"/>
      <c r="E557" s="200">
        <f>Dat_02!C556</f>
        <v>71.855994462259773</v>
      </c>
      <c r="F557" s="200">
        <f>Dat_02!D556</f>
        <v>105.05542662095111</v>
      </c>
      <c r="G557" s="200">
        <f>Dat_02!E556</f>
        <v>71.855994462259773</v>
      </c>
      <c r="I557" s="201">
        <f>Dat_02!G556</f>
        <v>0</v>
      </c>
      <c r="J557" s="207"/>
    </row>
    <row r="558" spans="2:10">
      <c r="B558" s="198"/>
      <c r="C558" s="199">
        <f>Dat_02!B557</f>
        <v>45998</v>
      </c>
      <c r="D558" s="198"/>
      <c r="E558" s="200">
        <f>Dat_02!C557</f>
        <v>77.368225970263495</v>
      </c>
      <c r="F558" s="200">
        <f>Dat_02!D557</f>
        <v>105.05542662095111</v>
      </c>
      <c r="G558" s="200">
        <f>Dat_02!E557</f>
        <v>77.368225970263495</v>
      </c>
      <c r="I558" s="201">
        <f>Dat_02!G557</f>
        <v>0</v>
      </c>
      <c r="J558" s="207"/>
    </row>
    <row r="559" spans="2:10">
      <c r="B559" s="198"/>
      <c r="C559" s="199">
        <f>Dat_02!B558</f>
        <v>45999</v>
      </c>
      <c r="D559" s="198"/>
      <c r="E559" s="200">
        <f>Dat_02!C558</f>
        <v>90.036722586261632</v>
      </c>
      <c r="F559" s="200">
        <f>Dat_02!D558</f>
        <v>105.05542662095111</v>
      </c>
      <c r="G559" s="200">
        <f>Dat_02!E558</f>
        <v>90.036722586261632</v>
      </c>
      <c r="I559" s="201">
        <f>Dat_02!G558</f>
        <v>0</v>
      </c>
      <c r="J559" s="207"/>
    </row>
    <row r="560" spans="2:10">
      <c r="B560" s="198"/>
      <c r="C560" s="199">
        <f>Dat_02!B559</f>
        <v>46000</v>
      </c>
      <c r="D560" s="198"/>
      <c r="E560" s="200">
        <f>Dat_02!C559</f>
        <v>111.54039784226164</v>
      </c>
      <c r="F560" s="200">
        <f>Dat_02!D559</f>
        <v>105.05542662095111</v>
      </c>
      <c r="G560" s="200">
        <f>Dat_02!E559</f>
        <v>105.05542662095111</v>
      </c>
      <c r="I560" s="201">
        <f>Dat_02!G559</f>
        <v>0</v>
      </c>
      <c r="J560" s="207"/>
    </row>
    <row r="561" spans="2:10">
      <c r="B561" s="198"/>
      <c r="C561" s="199">
        <f>Dat_02!B560</f>
        <v>46001</v>
      </c>
      <c r="D561" s="198"/>
      <c r="E561" s="200">
        <f>Dat_02!C560</f>
        <v>126.44105665010481</v>
      </c>
      <c r="F561" s="200">
        <f>Dat_02!D560</f>
        <v>105.05542662095111</v>
      </c>
      <c r="G561" s="200">
        <f>Dat_02!E560</f>
        <v>105.05542662095111</v>
      </c>
      <c r="I561" s="201">
        <f>Dat_02!G560</f>
        <v>0</v>
      </c>
      <c r="J561" s="207"/>
    </row>
    <row r="562" spans="2:10">
      <c r="B562" s="198"/>
      <c r="C562" s="199">
        <f>Dat_02!B561</f>
        <v>46002</v>
      </c>
      <c r="D562" s="198"/>
      <c r="E562" s="200">
        <f>Dat_02!C561</f>
        <v>124.33317142610109</v>
      </c>
      <c r="F562" s="200">
        <f>Dat_02!D561</f>
        <v>105.05542662095111</v>
      </c>
      <c r="G562" s="200">
        <f>Dat_02!E561</f>
        <v>105.05542662095111</v>
      </c>
      <c r="I562" s="201">
        <f>Dat_02!G561</f>
        <v>0</v>
      </c>
      <c r="J562" s="207"/>
    </row>
    <row r="563" spans="2:10">
      <c r="B563" s="198"/>
      <c r="C563" s="199">
        <f>Dat_02!B562</f>
        <v>46003</v>
      </c>
      <c r="D563" s="198"/>
      <c r="E563" s="200">
        <f>Dat_02!C562</f>
        <v>124.99246693809924</v>
      </c>
      <c r="F563" s="200">
        <f>Dat_02!D562</f>
        <v>105.05542662095111</v>
      </c>
      <c r="G563" s="200">
        <f>Dat_02!E562</f>
        <v>105.05542662095111</v>
      </c>
      <c r="I563" s="201">
        <f>Dat_02!G562</f>
        <v>0</v>
      </c>
      <c r="J563" s="207"/>
    </row>
    <row r="564" spans="2:10">
      <c r="B564" s="198"/>
      <c r="C564" s="199">
        <f>Dat_02!B563</f>
        <v>46004</v>
      </c>
      <c r="D564" s="198"/>
      <c r="E564" s="200">
        <f>Dat_02!C563</f>
        <v>89.294658898104828</v>
      </c>
      <c r="F564" s="200">
        <f>Dat_02!D563</f>
        <v>105.05542662095111</v>
      </c>
      <c r="G564" s="200">
        <f>Dat_02!E563</f>
        <v>89.294658898104828</v>
      </c>
      <c r="I564" s="201">
        <f>Dat_02!G563</f>
        <v>0</v>
      </c>
      <c r="J564" s="207"/>
    </row>
    <row r="565" spans="2:10">
      <c r="B565" s="198"/>
      <c r="C565" s="199">
        <f>Dat_02!B564</f>
        <v>46005</v>
      </c>
      <c r="D565" s="198"/>
      <c r="E565" s="200">
        <f>Dat_02!C564</f>
        <v>85.4385258381011</v>
      </c>
      <c r="F565" s="200">
        <f>Dat_02!D564</f>
        <v>105.05542662095111</v>
      </c>
      <c r="G565" s="200">
        <f>Dat_02!E564</f>
        <v>85.4385258381011</v>
      </c>
      <c r="I565" s="201" t="str">
        <f>Dat_02!G564</f>
        <v/>
      </c>
      <c r="J565" s="207"/>
    </row>
    <row r="566" spans="2:10">
      <c r="B566" s="198"/>
      <c r="C566" s="199">
        <f>Dat_02!B565</f>
        <v>46006</v>
      </c>
      <c r="D566" s="198"/>
      <c r="E566" s="200">
        <f>Dat_02!C565</f>
        <v>117.54742772610297</v>
      </c>
      <c r="F566" s="200">
        <f>Dat_02!D565</f>
        <v>105.05542662095111</v>
      </c>
      <c r="G566" s="200">
        <f>Dat_02!E565</f>
        <v>105.05542662095111</v>
      </c>
      <c r="I566" s="201">
        <f>Dat_02!G565</f>
        <v>0</v>
      </c>
      <c r="J566" s="207"/>
    </row>
    <row r="567" spans="2:10">
      <c r="B567" s="198"/>
      <c r="C567" s="199">
        <f>Dat_02!B566</f>
        <v>46007</v>
      </c>
      <c r="D567" s="198"/>
      <c r="E567" s="200">
        <f>Dat_02!C566</f>
        <v>107.58268014810297</v>
      </c>
      <c r="F567" s="200">
        <f>Dat_02!D566</f>
        <v>105.05542662095111</v>
      </c>
      <c r="G567" s="200">
        <f>Dat_02!E566</f>
        <v>105.05542662095111</v>
      </c>
      <c r="I567" s="201">
        <f>Dat_02!G566</f>
        <v>0</v>
      </c>
      <c r="J567" s="207"/>
    </row>
    <row r="568" spans="2:10">
      <c r="B568" s="198"/>
      <c r="C568" s="199">
        <f>Dat_02!B567</f>
        <v>46008</v>
      </c>
      <c r="D568" s="198"/>
      <c r="E568" s="200">
        <f>Dat_02!C567</f>
        <v>122.26003219056237</v>
      </c>
      <c r="F568" s="200">
        <f>Dat_02!D567</f>
        <v>105.05542662095111</v>
      </c>
      <c r="G568" s="200">
        <f>Dat_02!E567</f>
        <v>105.05542662095111</v>
      </c>
      <c r="I568" s="201">
        <f>Dat_02!G567</f>
        <v>0</v>
      </c>
      <c r="J568" s="207"/>
    </row>
    <row r="569" spans="2:10">
      <c r="B569" s="198"/>
      <c r="C569" s="199">
        <f>Dat_02!B568</f>
        <v>46009</v>
      </c>
      <c r="D569" s="198"/>
      <c r="E569" s="200">
        <f>Dat_02!C568</f>
        <v>104.72153659255865</v>
      </c>
      <c r="F569" s="200">
        <f>Dat_02!D568</f>
        <v>105.05542662095111</v>
      </c>
      <c r="G569" s="200">
        <f>Dat_02!E568</f>
        <v>104.72153659255865</v>
      </c>
      <c r="I569" s="201">
        <f>Dat_02!G568</f>
        <v>0</v>
      </c>
      <c r="J569" s="207"/>
    </row>
    <row r="570" spans="2:10">
      <c r="B570" s="198"/>
      <c r="C570" s="199">
        <f>Dat_02!B569</f>
        <v>46010</v>
      </c>
      <c r="D570" s="198"/>
      <c r="E570" s="200">
        <f>Dat_02!C569</f>
        <v>134.40995439756236</v>
      </c>
      <c r="F570" s="200">
        <f>Dat_02!D569</f>
        <v>105.05542662095111</v>
      </c>
      <c r="G570" s="200">
        <f>Dat_02!E569</f>
        <v>105.05542662095111</v>
      </c>
      <c r="I570" s="201">
        <f>Dat_02!G569</f>
        <v>0</v>
      </c>
      <c r="J570" s="207"/>
    </row>
    <row r="571" spans="2:10">
      <c r="B571" s="198"/>
      <c r="C571" s="199">
        <f>Dat_02!B570</f>
        <v>46011</v>
      </c>
      <c r="D571" s="198"/>
      <c r="E571" s="200">
        <f>Dat_02!C570</f>
        <v>109.30248564656051</v>
      </c>
      <c r="F571" s="200">
        <f>Dat_02!D570</f>
        <v>105.05542662095111</v>
      </c>
      <c r="G571" s="200">
        <f>Dat_02!E570</f>
        <v>105.05542662095111</v>
      </c>
      <c r="I571" s="201">
        <f>Dat_02!G570</f>
        <v>0</v>
      </c>
      <c r="J571" s="207"/>
    </row>
    <row r="572" spans="2:10">
      <c r="B572" s="198"/>
      <c r="C572" s="199">
        <f>Dat_02!B571</f>
        <v>46012</v>
      </c>
      <c r="D572" s="198"/>
      <c r="E572" s="200">
        <f>Dat_02!C571</f>
        <v>82.508078432562371</v>
      </c>
      <c r="F572" s="200">
        <f>Dat_02!D571</f>
        <v>105.05542662095111</v>
      </c>
      <c r="G572" s="200">
        <f>Dat_02!E571</f>
        <v>82.508078432562371</v>
      </c>
      <c r="I572" s="201">
        <f>Dat_02!G571</f>
        <v>0</v>
      </c>
      <c r="J572" s="207"/>
    </row>
    <row r="573" spans="2:10">
      <c r="B573" s="198"/>
      <c r="C573" s="199">
        <f>Dat_02!B572</f>
        <v>46013</v>
      </c>
      <c r="D573" s="198"/>
      <c r="E573" s="200">
        <f>Dat_02!C572</f>
        <v>109.51970932956237</v>
      </c>
      <c r="F573" s="200">
        <f>Dat_02!D572</f>
        <v>105.05542662095111</v>
      </c>
      <c r="G573" s="200">
        <f>Dat_02!E572</f>
        <v>105.05542662095111</v>
      </c>
      <c r="I573" s="201">
        <f>Dat_02!G572</f>
        <v>0</v>
      </c>
      <c r="J573" s="207"/>
    </row>
    <row r="574" spans="2:10">
      <c r="B574" s="198"/>
      <c r="C574" s="199">
        <f>Dat_02!B573</f>
        <v>46014</v>
      </c>
      <c r="D574" s="198"/>
      <c r="E574" s="200">
        <f>Dat_02!C573</f>
        <v>117.24106373756237</v>
      </c>
      <c r="F574" s="200">
        <f>Dat_02!D573</f>
        <v>105.05542662095111</v>
      </c>
      <c r="G574" s="200">
        <f>Dat_02!E573</f>
        <v>105.05542662095111</v>
      </c>
      <c r="I574" s="201">
        <f>Dat_02!G573</f>
        <v>0</v>
      </c>
      <c r="J574" s="207"/>
    </row>
    <row r="575" spans="2:10">
      <c r="B575" s="198"/>
      <c r="C575" s="199">
        <f>Dat_02!B574</f>
        <v>46015</v>
      </c>
      <c r="D575" s="198"/>
      <c r="E575" s="200">
        <f>Dat_02!C574</f>
        <v>70.514531098416867</v>
      </c>
      <c r="F575" s="200">
        <f>Dat_02!D574</f>
        <v>105.05542662095111</v>
      </c>
      <c r="G575" s="200">
        <f>Dat_02!E574</f>
        <v>70.514531098416867</v>
      </c>
      <c r="I575" s="201">
        <f>Dat_02!G574</f>
        <v>0</v>
      </c>
      <c r="J575" s="207"/>
    </row>
    <row r="576" spans="2:10">
      <c r="B576" s="198"/>
      <c r="C576" s="199">
        <f>Dat_02!B575</f>
        <v>46016</v>
      </c>
      <c r="D576" s="198"/>
      <c r="E576" s="200">
        <f>Dat_02!C575</f>
        <v>88.324514350420586</v>
      </c>
      <c r="F576" s="200">
        <f>Dat_02!D575</f>
        <v>105.05542662095111</v>
      </c>
      <c r="G576" s="200">
        <f>Dat_02!E575</f>
        <v>88.324514350420586</v>
      </c>
      <c r="I576" s="201">
        <f>Dat_02!G575</f>
        <v>0</v>
      </c>
      <c r="J576" s="207"/>
    </row>
    <row r="577" spans="2:10">
      <c r="B577" s="198"/>
      <c r="C577" s="199">
        <f>Dat_02!B576</f>
        <v>46017</v>
      </c>
      <c r="D577" s="198"/>
      <c r="E577" s="200">
        <f>Dat_02!C576</f>
        <v>127.02526741842058</v>
      </c>
      <c r="F577" s="200">
        <f>Dat_02!D576</f>
        <v>105.05542662095111</v>
      </c>
      <c r="G577" s="200">
        <f>Dat_02!E576</f>
        <v>105.05542662095111</v>
      </c>
      <c r="I577" s="201">
        <f>Dat_02!G576</f>
        <v>0</v>
      </c>
      <c r="J577" s="207"/>
    </row>
    <row r="578" spans="2:10">
      <c r="B578" s="198"/>
      <c r="C578" s="199">
        <f>Dat_02!B577</f>
        <v>46018</v>
      </c>
      <c r="D578" s="198"/>
      <c r="E578" s="200">
        <f>Dat_02!C577</f>
        <v>111.84318675841872</v>
      </c>
      <c r="F578" s="200">
        <f>Dat_02!D577</f>
        <v>105.05542662095111</v>
      </c>
      <c r="G578" s="200">
        <f>Dat_02!E577</f>
        <v>105.05542662095111</v>
      </c>
      <c r="I578" s="201">
        <f>Dat_02!G577</f>
        <v>0</v>
      </c>
      <c r="J578" s="207"/>
    </row>
    <row r="579" spans="2:10">
      <c r="B579" s="198"/>
      <c r="C579" s="199">
        <f>Dat_02!B578</f>
        <v>46019</v>
      </c>
      <c r="D579" s="198"/>
      <c r="E579" s="200">
        <f>Dat_02!C578</f>
        <v>96.971489306418718</v>
      </c>
      <c r="F579" s="200">
        <f>Dat_02!D578</f>
        <v>105.05542662095111</v>
      </c>
      <c r="G579" s="200">
        <f>Dat_02!E578</f>
        <v>96.971489306418718</v>
      </c>
      <c r="I579" s="201">
        <f>Dat_02!G578</f>
        <v>0</v>
      </c>
      <c r="J579" s="207"/>
    </row>
    <row r="580" spans="2:10">
      <c r="B580" s="198"/>
      <c r="C580" s="199">
        <f>Dat_02!B579</f>
        <v>46020</v>
      </c>
      <c r="D580" s="198"/>
      <c r="E580" s="200">
        <f>Dat_02!C579</f>
        <v>124.84708129042058</v>
      </c>
      <c r="F580" s="200">
        <f>Dat_02!D579</f>
        <v>105.05542662095111</v>
      </c>
      <c r="G580" s="200">
        <f>Dat_02!E579</f>
        <v>105.05542662095111</v>
      </c>
      <c r="I580" s="201">
        <f>Dat_02!G579</f>
        <v>0</v>
      </c>
      <c r="J580" s="207"/>
    </row>
    <row r="581" spans="2:10">
      <c r="B581" s="198"/>
      <c r="C581" s="199">
        <f>Dat_02!B580</f>
        <v>46021</v>
      </c>
      <c r="D581" s="198"/>
      <c r="E581" s="200">
        <f>Dat_02!C580</f>
        <v>119.42508281842059</v>
      </c>
      <c r="F581" s="200">
        <f>Dat_02!D580</f>
        <v>105.05542662095111</v>
      </c>
      <c r="G581" s="200">
        <f>Dat_02!E580</f>
        <v>105.05542662095111</v>
      </c>
      <c r="I581" s="201">
        <f>Dat_02!G580</f>
        <v>0</v>
      </c>
      <c r="J581" s="207"/>
    </row>
    <row r="582" spans="2:10">
      <c r="B582" s="198"/>
      <c r="C582" s="199">
        <f>Dat_02!B581</f>
        <v>46022</v>
      </c>
      <c r="D582" s="198"/>
      <c r="E582" s="200">
        <f>Dat_02!C581</f>
        <v>79.836942209111058</v>
      </c>
      <c r="F582" s="200">
        <f>Dat_02!D581</f>
        <v>105.05542662095111</v>
      </c>
      <c r="G582" s="200">
        <f>Dat_02!E581</f>
        <v>79.836942209111058</v>
      </c>
      <c r="I582" s="201">
        <f>Dat_02!G581</f>
        <v>0</v>
      </c>
      <c r="J582" s="207"/>
    </row>
    <row r="583" spans="2:10">
      <c r="B583" s="198"/>
      <c r="C583" s="199">
        <f>Dat_02!B582</f>
        <v>46023</v>
      </c>
      <c r="D583" s="198"/>
      <c r="E583" s="200">
        <f>Dat_02!C582</f>
        <v>49.870291197114781</v>
      </c>
      <c r="F583" s="200">
        <f>Dat_02!D582</f>
        <v>122.79275785238266</v>
      </c>
      <c r="G583" s="200">
        <f>Dat_02!E582</f>
        <v>49.870291197114781</v>
      </c>
      <c r="I583" s="201">
        <f>Dat_02!G582</f>
        <v>0</v>
      </c>
      <c r="J583" s="207"/>
    </row>
    <row r="584" spans="2:10">
      <c r="B584" s="198"/>
      <c r="C584" s="199">
        <f>Dat_02!B583</f>
        <v>46024</v>
      </c>
      <c r="D584" s="198"/>
      <c r="E584" s="200">
        <f>Dat_02!C583</f>
        <v>80.033253186111068</v>
      </c>
      <c r="F584" s="200">
        <f>Dat_02!D583</f>
        <v>122.79275785238266</v>
      </c>
      <c r="G584" s="200">
        <f>Dat_02!E583</f>
        <v>80.033253186111068</v>
      </c>
      <c r="I584" s="201">
        <f>Dat_02!G583</f>
        <v>0</v>
      </c>
      <c r="J584" s="207"/>
    </row>
    <row r="585" spans="2:10">
      <c r="B585" s="198"/>
      <c r="C585" s="199">
        <f>Dat_02!B584</f>
        <v>46025</v>
      </c>
      <c r="D585" s="198"/>
      <c r="E585" s="200">
        <f>Dat_02!C584</f>
        <v>75.034860076112921</v>
      </c>
      <c r="F585" s="200">
        <f>Dat_02!D584</f>
        <v>122.79275785238266</v>
      </c>
      <c r="G585" s="200">
        <f>Dat_02!E584</f>
        <v>75.034860076112921</v>
      </c>
      <c r="I585" s="201">
        <f>Dat_02!G584</f>
        <v>0</v>
      </c>
      <c r="J585" s="207"/>
    </row>
    <row r="586" spans="2:10">
      <c r="B586" s="198"/>
      <c r="C586" s="199">
        <f>Dat_02!B585</f>
        <v>46026</v>
      </c>
      <c r="D586" s="198"/>
      <c r="E586" s="200">
        <f>Dat_02!C585</f>
        <v>32.101209589112919</v>
      </c>
      <c r="F586" s="200">
        <f>Dat_02!D585</f>
        <v>122.79275785238266</v>
      </c>
      <c r="G586" s="200">
        <f>Dat_02!E585</f>
        <v>32.101209589112919</v>
      </c>
      <c r="I586" s="201">
        <f>Dat_02!G585</f>
        <v>0</v>
      </c>
      <c r="J586" s="207"/>
    </row>
    <row r="587" spans="2:10">
      <c r="B587" s="198"/>
      <c r="C587" s="199">
        <f>Dat_02!B586</f>
        <v>46027</v>
      </c>
      <c r="D587" s="198"/>
      <c r="E587" s="200">
        <f>Dat_02!C586</f>
        <v>60.380907146111056</v>
      </c>
      <c r="F587" s="200">
        <f>Dat_02!D586</f>
        <v>122.79275785238266</v>
      </c>
      <c r="G587" s="200">
        <f>Dat_02!E586</f>
        <v>60.380907146111056</v>
      </c>
      <c r="I587" s="201">
        <f>Dat_02!G586</f>
        <v>0</v>
      </c>
      <c r="J587" s="207"/>
    </row>
    <row r="588" spans="2:10">
      <c r="B588" s="198"/>
      <c r="C588" s="199">
        <f>Dat_02!B587</f>
        <v>46028</v>
      </c>
      <c r="D588" s="198"/>
      <c r="E588" s="200">
        <f>Dat_02!C587</f>
        <v>41.585444585112917</v>
      </c>
      <c r="F588" s="200">
        <f>Dat_02!D587</f>
        <v>122.79275785238266</v>
      </c>
      <c r="G588" s="200">
        <f>Dat_02!E587</f>
        <v>41.585444585112917</v>
      </c>
      <c r="I588" s="201">
        <f>Dat_02!G587</f>
        <v>0</v>
      </c>
      <c r="J588" s="207"/>
    </row>
    <row r="589" spans="2:10">
      <c r="B589" s="198"/>
      <c r="C589" s="199">
        <f>Dat_02!B588</f>
        <v>46029</v>
      </c>
      <c r="D589" s="198"/>
      <c r="E589" s="200">
        <f>Dat_02!C588</f>
        <v>102.27748833755247</v>
      </c>
      <c r="F589" s="200">
        <f>Dat_02!D588</f>
        <v>122.79275785238266</v>
      </c>
      <c r="G589" s="200">
        <f>Dat_02!E588</f>
        <v>102.27748833755247</v>
      </c>
      <c r="I589" s="201">
        <f>Dat_02!G588</f>
        <v>0</v>
      </c>
      <c r="J589" s="207"/>
    </row>
    <row r="590" spans="2:10">
      <c r="B590" s="198"/>
      <c r="C590" s="199">
        <f>Dat_02!B589</f>
        <v>46030</v>
      </c>
      <c r="D590" s="198"/>
      <c r="E590" s="200">
        <f>Dat_02!C589</f>
        <v>93.32257986254875</v>
      </c>
      <c r="F590" s="200">
        <f>Dat_02!D589</f>
        <v>122.79275785238266</v>
      </c>
      <c r="G590" s="200">
        <f>Dat_02!E589</f>
        <v>93.32257986254875</v>
      </c>
      <c r="I590" s="201">
        <f>Dat_02!G589</f>
        <v>0</v>
      </c>
      <c r="J590" s="207"/>
    </row>
    <row r="591" spans="2:10">
      <c r="B591" s="198"/>
      <c r="C591" s="199">
        <f>Dat_02!B590</f>
        <v>46031</v>
      </c>
      <c r="D591" s="198"/>
      <c r="E591" s="200">
        <f>Dat_02!C590</f>
        <v>51.194949078552469</v>
      </c>
      <c r="F591" s="200">
        <f>Dat_02!D590</f>
        <v>122.79275785238266</v>
      </c>
      <c r="G591" s="200">
        <f>Dat_02!E590</f>
        <v>51.194949078552469</v>
      </c>
      <c r="I591" s="201">
        <f>Dat_02!G590</f>
        <v>0</v>
      </c>
      <c r="J591" s="207"/>
    </row>
    <row r="592" spans="2:10">
      <c r="B592" s="198"/>
      <c r="C592" s="199">
        <f>Dat_02!B591</f>
        <v>46032</v>
      </c>
      <c r="D592" s="198"/>
      <c r="E592" s="200">
        <f>Dat_02!C591</f>
        <v>62.69774962254688</v>
      </c>
      <c r="F592" s="200">
        <f>Dat_02!D591</f>
        <v>122.79275785238266</v>
      </c>
      <c r="G592" s="200">
        <f>Dat_02!E591</f>
        <v>62.69774962254688</v>
      </c>
      <c r="I592" s="201">
        <f>Dat_02!G591</f>
        <v>0</v>
      </c>
      <c r="J592" s="207"/>
    </row>
    <row r="593" spans="2:10">
      <c r="B593" s="198"/>
      <c r="C593" s="199">
        <f>Dat_02!B592</f>
        <v>46033</v>
      </c>
      <c r="D593" s="198"/>
      <c r="E593" s="200">
        <f>Dat_02!C592</f>
        <v>70.225215734552478</v>
      </c>
      <c r="F593" s="200">
        <f>Dat_02!D592</f>
        <v>122.79275785238266</v>
      </c>
      <c r="G593" s="200">
        <f>Dat_02!E592</f>
        <v>70.225215734552478</v>
      </c>
      <c r="I593" s="201">
        <f>Dat_02!G592</f>
        <v>0</v>
      </c>
      <c r="J593" s="207"/>
    </row>
    <row r="594" spans="2:10">
      <c r="B594" s="198"/>
      <c r="C594" s="199">
        <f>Dat_02!B593</f>
        <v>46034</v>
      </c>
      <c r="D594" s="198"/>
      <c r="E594" s="200">
        <f>Dat_02!C593</f>
        <v>88.13688702655061</v>
      </c>
      <c r="F594" s="200">
        <f>Dat_02!D593</f>
        <v>122.79275785238266</v>
      </c>
      <c r="G594" s="200">
        <f>Dat_02!E593</f>
        <v>88.13688702655061</v>
      </c>
      <c r="I594" s="201">
        <f>Dat_02!G593</f>
        <v>0</v>
      </c>
      <c r="J594" s="207"/>
    </row>
    <row r="595" spans="2:10">
      <c r="B595" s="198"/>
      <c r="C595" s="199">
        <f>Dat_02!B594</f>
        <v>46035</v>
      </c>
      <c r="D595" s="198"/>
      <c r="E595" s="200">
        <f>Dat_02!C594</f>
        <v>112.95177166655061</v>
      </c>
      <c r="F595" s="200">
        <f>Dat_02!D594</f>
        <v>122.79275785238266</v>
      </c>
      <c r="G595" s="200">
        <f>Dat_02!E594</f>
        <v>112.95177166655061</v>
      </c>
      <c r="I595" s="201">
        <f>Dat_02!G594</f>
        <v>0</v>
      </c>
      <c r="J595" s="207"/>
    </row>
    <row r="596" spans="2:10">
      <c r="B596" s="198"/>
      <c r="C596" s="199">
        <f>Dat_02!B595</f>
        <v>46036</v>
      </c>
      <c r="D596" s="198"/>
      <c r="E596" s="200">
        <f>Dat_02!C595</f>
        <v>126.12410806662145</v>
      </c>
      <c r="F596" s="200">
        <f>Dat_02!D595</f>
        <v>122.79275785238266</v>
      </c>
      <c r="G596" s="200">
        <f>Dat_02!E595</f>
        <v>122.79275785238266</v>
      </c>
      <c r="I596" s="201" t="str">
        <f>Dat_02!G595</f>
        <v/>
      </c>
      <c r="J596" s="207"/>
    </row>
    <row r="597" spans="2:10">
      <c r="B597" s="198"/>
      <c r="C597" s="199">
        <f>Dat_02!B596</f>
        <v>46037</v>
      </c>
      <c r="D597" s="198"/>
      <c r="E597" s="200">
        <f>Dat_02!C596</f>
        <v>97.014344129623311</v>
      </c>
      <c r="F597" s="200">
        <f>Dat_02!D596</f>
        <v>122.79275785238266</v>
      </c>
      <c r="G597" s="200">
        <f>Dat_02!E596</f>
        <v>97.014344129623311</v>
      </c>
      <c r="I597" s="201">
        <f>Dat_02!G596</f>
        <v>0</v>
      </c>
      <c r="J597" s="207"/>
    </row>
    <row r="598" spans="2:10">
      <c r="B598" s="198"/>
      <c r="C598" s="199">
        <f>Dat_02!B597</f>
        <v>46038</v>
      </c>
      <c r="D598" s="198"/>
      <c r="E598" s="200">
        <f>Dat_02!C597</f>
        <v>116.28581086862145</v>
      </c>
      <c r="F598" s="200">
        <f>Dat_02!D597</f>
        <v>122.79275785238266</v>
      </c>
      <c r="G598" s="200">
        <f>Dat_02!E597</f>
        <v>116.28581086862145</v>
      </c>
      <c r="I598" s="201">
        <f>Dat_02!G597</f>
        <v>0</v>
      </c>
      <c r="J598" s="207"/>
    </row>
    <row r="599" spans="2:10">
      <c r="B599" s="198"/>
      <c r="C599" s="199">
        <f>Dat_02!B598</f>
        <v>46039</v>
      </c>
      <c r="D599" s="198"/>
      <c r="E599" s="200">
        <f>Dat_02!C598</f>
        <v>114.88151747762332</v>
      </c>
      <c r="F599" s="200">
        <f>Dat_02!D598</f>
        <v>122.79275785238266</v>
      </c>
      <c r="G599" s="200">
        <f>Dat_02!E598</f>
        <v>114.88151747762332</v>
      </c>
      <c r="I599" s="201">
        <f>Dat_02!G598</f>
        <v>0</v>
      </c>
      <c r="J599" s="207"/>
    </row>
    <row r="600" spans="2:10">
      <c r="B600" s="198"/>
      <c r="C600" s="199">
        <f>Dat_02!B599</f>
        <v>46040</v>
      </c>
      <c r="D600" s="198"/>
      <c r="E600" s="200">
        <f>Dat_02!C599</f>
        <v>99.930858625623316</v>
      </c>
      <c r="F600" s="200">
        <f>Dat_02!D599</f>
        <v>122.79275785238266</v>
      </c>
      <c r="G600" s="200">
        <f>Dat_02!E599</f>
        <v>99.930858625623316</v>
      </c>
      <c r="I600" s="201">
        <f>Dat_02!G599</f>
        <v>0</v>
      </c>
      <c r="J600" s="207"/>
    </row>
    <row r="601" spans="2:10">
      <c r="B601" s="198"/>
      <c r="C601" s="199">
        <f>Dat_02!B600</f>
        <v>46041</v>
      </c>
      <c r="D601" s="198"/>
      <c r="E601" s="200">
        <f>Dat_02!C600</f>
        <v>115.47489228162145</v>
      </c>
      <c r="F601" s="200">
        <f>Dat_02!D600</f>
        <v>122.79275785238266</v>
      </c>
      <c r="G601" s="200">
        <f>Dat_02!E600</f>
        <v>115.47489228162145</v>
      </c>
      <c r="I601" s="201">
        <f>Dat_02!G600</f>
        <v>0</v>
      </c>
      <c r="J601" s="207"/>
    </row>
    <row r="602" spans="2:10">
      <c r="B602" s="198"/>
      <c r="C602" s="199">
        <f>Dat_02!B601</f>
        <v>46042</v>
      </c>
      <c r="D602" s="198"/>
      <c r="E602" s="200">
        <f>Dat_02!C601</f>
        <v>112.43340331362332</v>
      </c>
      <c r="F602" s="200">
        <f>Dat_02!D601</f>
        <v>122.79275785238266</v>
      </c>
      <c r="G602" s="200">
        <f>Dat_02!E601</f>
        <v>112.43340331362332</v>
      </c>
      <c r="I602" s="201">
        <f>Dat_02!G601</f>
        <v>0</v>
      </c>
      <c r="J602" s="207"/>
    </row>
    <row r="603" spans="2:10">
      <c r="B603" s="198"/>
      <c r="C603" s="199">
        <f>Dat_02!B602</f>
        <v>46043</v>
      </c>
      <c r="D603" s="198"/>
      <c r="E603" s="200">
        <f>Dat_02!C602</f>
        <v>154.98277861356513</v>
      </c>
      <c r="F603" s="200">
        <f>Dat_02!D602</f>
        <v>122.79275785238266</v>
      </c>
      <c r="G603" s="200">
        <f>Dat_02!E602</f>
        <v>122.79275785238266</v>
      </c>
      <c r="I603" s="201">
        <f>Dat_02!G602</f>
        <v>0</v>
      </c>
      <c r="J603" s="207"/>
    </row>
    <row r="604" spans="2:10">
      <c r="B604" s="198"/>
      <c r="C604" s="199">
        <f>Dat_02!B603</f>
        <v>46044</v>
      </c>
      <c r="D604" s="198"/>
      <c r="E604" s="200">
        <f>Dat_02!C603</f>
        <v>139.20819501356701</v>
      </c>
      <c r="F604" s="200">
        <f>Dat_02!D603</f>
        <v>122.79275785238266</v>
      </c>
      <c r="G604" s="200">
        <f>Dat_02!E603</f>
        <v>122.79275785238266</v>
      </c>
      <c r="I604" s="201">
        <f>Dat_02!G603</f>
        <v>0</v>
      </c>
      <c r="J604" s="207"/>
    </row>
    <row r="605" spans="2:10">
      <c r="B605" s="198"/>
      <c r="C605" s="199">
        <f>Dat_02!B604</f>
        <v>46045</v>
      </c>
      <c r="D605" s="198"/>
      <c r="E605" s="200">
        <f>Dat_02!C604</f>
        <v>144.47434795756516</v>
      </c>
      <c r="F605" s="200">
        <f>Dat_02!D604</f>
        <v>122.79275785238266</v>
      </c>
      <c r="G605" s="200">
        <f>Dat_02!E604</f>
        <v>122.79275785238266</v>
      </c>
      <c r="I605" s="201">
        <f>Dat_02!G604</f>
        <v>0</v>
      </c>
      <c r="J605" s="207"/>
    </row>
    <row r="606" spans="2:10">
      <c r="B606" s="198"/>
      <c r="C606" s="199">
        <f>Dat_02!B605</f>
        <v>46046</v>
      </c>
      <c r="D606" s="198"/>
      <c r="E606" s="200">
        <f>Dat_02!C605</f>
        <v>132.12615336156514</v>
      </c>
      <c r="F606" s="200">
        <f>Dat_02!D605</f>
        <v>122.79275785238266</v>
      </c>
      <c r="G606" s="200">
        <f>Dat_02!E605</f>
        <v>122.79275785238266</v>
      </c>
      <c r="I606" s="201">
        <f>Dat_02!G605</f>
        <v>0</v>
      </c>
      <c r="J606" s="207"/>
    </row>
    <row r="607" spans="2:10">
      <c r="B607" s="198"/>
      <c r="C607" s="199">
        <f>Dat_02!B606</f>
        <v>46047</v>
      </c>
      <c r="D607" s="198"/>
      <c r="E607" s="200">
        <f>Dat_02!C606</f>
        <v>112.54498642556703</v>
      </c>
      <c r="F607" s="200">
        <f>Dat_02!D606</f>
        <v>122.79275785238266</v>
      </c>
      <c r="G607" s="200">
        <f>Dat_02!E606</f>
        <v>112.54498642556703</v>
      </c>
      <c r="I607" s="201">
        <f>Dat_02!G606</f>
        <v>0</v>
      </c>
      <c r="J607" s="207"/>
    </row>
    <row r="608" spans="2:10">
      <c r="B608" s="198"/>
      <c r="C608" s="199">
        <f>Dat_02!B607</f>
        <v>46048</v>
      </c>
      <c r="D608" s="198"/>
      <c r="E608" s="200">
        <f>Dat_02!C607</f>
        <v>142.68211148156516</v>
      </c>
      <c r="F608" s="200">
        <f>Dat_02!D607</f>
        <v>122.79275785238266</v>
      </c>
      <c r="G608" s="200">
        <f>Dat_02!E607</f>
        <v>122.79275785238266</v>
      </c>
      <c r="I608" s="201">
        <f>Dat_02!G607</f>
        <v>0</v>
      </c>
      <c r="J608" s="207"/>
    </row>
    <row r="609" spans="2:10">
      <c r="B609" s="198"/>
      <c r="C609" s="199">
        <f>Dat_02!B608</f>
        <v>46049</v>
      </c>
      <c r="D609" s="198"/>
      <c r="E609" s="200">
        <f>Dat_02!C608</f>
        <v>156.63951282956702</v>
      </c>
      <c r="F609" s="200">
        <f>Dat_02!D608</f>
        <v>122.79275785238266</v>
      </c>
      <c r="G609" s="200">
        <f>Dat_02!E608</f>
        <v>122.79275785238266</v>
      </c>
      <c r="I609" s="201">
        <f>Dat_02!G608</f>
        <v>0</v>
      </c>
      <c r="J609" s="207"/>
    </row>
    <row r="610" spans="2:10">
      <c r="B610" s="198"/>
      <c r="C610" s="199">
        <f>Dat_02!B609</f>
        <v>46050</v>
      </c>
      <c r="D610" s="198"/>
      <c r="E610" s="200">
        <f>Dat_02!C609</f>
        <v>388.63791610607797</v>
      </c>
      <c r="F610" s="200">
        <f>Dat_02!D609</f>
        <v>122.79275785238266</v>
      </c>
      <c r="G610" s="200">
        <f>Dat_02!E609</f>
        <v>122.79275785238266</v>
      </c>
      <c r="I610" s="201">
        <f>Dat_02!G609</f>
        <v>0</v>
      </c>
      <c r="J610" s="207"/>
    </row>
    <row r="611" spans="2:10">
      <c r="B611" s="198"/>
      <c r="C611" s="199">
        <f>Dat_02!B610</f>
        <v>46051</v>
      </c>
      <c r="D611" s="198"/>
      <c r="E611" s="200">
        <f>Dat_02!C610</f>
        <v>383.58711033807424</v>
      </c>
      <c r="F611" s="200">
        <f>Dat_02!D610</f>
        <v>122.79275785238266</v>
      </c>
      <c r="G611" s="200">
        <f>Dat_02!E610</f>
        <v>122.79275785238266</v>
      </c>
      <c r="I611" s="201">
        <f>Dat_02!G610</f>
        <v>0</v>
      </c>
      <c r="J611" s="207"/>
    </row>
    <row r="612" spans="2:10">
      <c r="B612" s="198"/>
      <c r="C612" s="199">
        <f>Dat_02!B611</f>
        <v>46052</v>
      </c>
      <c r="D612" s="198"/>
      <c r="E612" s="200">
        <f>Dat_02!C611</f>
        <v>386.74552716207796</v>
      </c>
      <c r="F612" s="200">
        <f>Dat_02!D611</f>
        <v>122.79275785238266</v>
      </c>
      <c r="G612" s="200">
        <f>Dat_02!E611</f>
        <v>122.79275785238266</v>
      </c>
      <c r="I612" s="201">
        <f>Dat_02!G611</f>
        <v>0</v>
      </c>
      <c r="J612" s="207"/>
    </row>
    <row r="613" spans="2:10">
      <c r="B613" s="198"/>
      <c r="C613" s="199">
        <f>Dat_02!B612</f>
        <v>46053</v>
      </c>
      <c r="D613" s="198"/>
      <c r="E613" s="200">
        <f>Dat_02!C612</f>
        <v>398.55839159107796</v>
      </c>
      <c r="F613" s="200">
        <f>Dat_02!D612</f>
        <v>122.79275785238266</v>
      </c>
      <c r="G613" s="200">
        <f>Dat_02!E612</f>
        <v>122.79275785238266</v>
      </c>
      <c r="I613" s="201">
        <f>Dat_02!G612</f>
        <v>0</v>
      </c>
      <c r="J613" s="207"/>
    </row>
    <row r="614" spans="2:10">
      <c r="B614" s="198"/>
      <c r="C614" s="199">
        <f>Dat_02!B613</f>
        <v>46054</v>
      </c>
      <c r="D614" s="198"/>
      <c r="E614" s="200">
        <f>Dat_02!C613</f>
        <v>404.86547333707608</v>
      </c>
      <c r="F614" s="200">
        <f>Dat_02!D613</f>
        <v>130.24536147210011</v>
      </c>
      <c r="G614" s="200">
        <f>Dat_02!E613</f>
        <v>130.24536147210011</v>
      </c>
      <c r="I614" s="201">
        <f>Dat_02!G613</f>
        <v>0</v>
      </c>
      <c r="J614" s="207"/>
    </row>
    <row r="615" spans="2:10">
      <c r="B615" s="198"/>
      <c r="C615" s="199">
        <f>Dat_02!B614</f>
        <v>46055</v>
      </c>
      <c r="D615" s="198"/>
      <c r="E615" s="200">
        <f>Dat_02!C614</f>
        <v>415.58760048207608</v>
      </c>
      <c r="F615" s="200">
        <f>Dat_02!D614</f>
        <v>130.24536147210011</v>
      </c>
      <c r="G615" s="200">
        <f>Dat_02!E614</f>
        <v>130.24536147210011</v>
      </c>
      <c r="I615" s="201">
        <f>Dat_02!G614</f>
        <v>0</v>
      </c>
      <c r="J615" s="207"/>
    </row>
    <row r="616" spans="2:10">
      <c r="B616" s="198"/>
      <c r="C616" s="199">
        <f>Dat_02!B615</f>
        <v>46056</v>
      </c>
      <c r="D616" s="198"/>
      <c r="E616" s="200">
        <f>Dat_02!C615</f>
        <v>439.19877941807795</v>
      </c>
      <c r="F616" s="200">
        <f>Dat_02!D615</f>
        <v>130.24536147210011</v>
      </c>
      <c r="G616" s="200">
        <f>Dat_02!E615</f>
        <v>130.24536147210011</v>
      </c>
      <c r="I616" s="201">
        <f>Dat_02!G615</f>
        <v>0</v>
      </c>
      <c r="J616" s="207"/>
    </row>
    <row r="617" spans="2:10">
      <c r="B617" s="198"/>
      <c r="C617" s="199">
        <f>Dat_02!B616</f>
        <v>46057</v>
      </c>
      <c r="D617" s="198"/>
      <c r="E617" s="200">
        <f>Dat_02!C616</f>
        <v>478.12247028103729</v>
      </c>
      <c r="F617" s="200">
        <f>Dat_02!D616</f>
        <v>130.24536147210011</v>
      </c>
      <c r="G617" s="200">
        <f>Dat_02!E616</f>
        <v>130.24536147210011</v>
      </c>
      <c r="I617" s="201">
        <f>Dat_02!G616</f>
        <v>0</v>
      </c>
      <c r="J617" s="207"/>
    </row>
    <row r="618" spans="2:10">
      <c r="B618" s="198"/>
      <c r="C618" s="199">
        <f>Dat_02!B617</f>
        <v>46058</v>
      </c>
      <c r="D618" s="198"/>
      <c r="E618" s="200">
        <f>Dat_02!C617</f>
        <v>483.39475027304098</v>
      </c>
      <c r="F618" s="200">
        <f>Dat_02!D617</f>
        <v>130.24536147210011</v>
      </c>
      <c r="G618" s="200">
        <f>Dat_02!E617</f>
        <v>130.24536147210011</v>
      </c>
      <c r="I618" s="201">
        <f>Dat_02!G617</f>
        <v>0</v>
      </c>
      <c r="J618" s="207"/>
    </row>
    <row r="619" spans="2:10">
      <c r="B619" s="198"/>
      <c r="C619" s="199">
        <f>Dat_02!B618</f>
        <v>46059</v>
      </c>
      <c r="D619" s="198"/>
      <c r="E619" s="200">
        <f>Dat_02!C618</f>
        <v>483.87470685103915</v>
      </c>
      <c r="F619" s="200">
        <f>Dat_02!D618</f>
        <v>130.24536147210011</v>
      </c>
      <c r="G619" s="200">
        <f>Dat_02!E618</f>
        <v>130.24536147210011</v>
      </c>
      <c r="I619" s="201">
        <f>Dat_02!G618</f>
        <v>0</v>
      </c>
      <c r="J619" s="207"/>
    </row>
    <row r="620" spans="2:10">
      <c r="B620" s="198"/>
      <c r="C620" s="199">
        <f>Dat_02!B619</f>
        <v>46060</v>
      </c>
      <c r="D620" s="198"/>
      <c r="E620" s="200">
        <f>Dat_02!C619</f>
        <v>493.55933911303913</v>
      </c>
      <c r="F620" s="200">
        <f>Dat_02!D619</f>
        <v>130.24536147210011</v>
      </c>
      <c r="G620" s="200">
        <f>Dat_02!E619</f>
        <v>130.24536147210011</v>
      </c>
      <c r="I620" s="201">
        <f>Dat_02!G619</f>
        <v>0</v>
      </c>
      <c r="J620" s="207"/>
    </row>
    <row r="621" spans="2:10">
      <c r="B621" s="198"/>
      <c r="C621" s="199">
        <f>Dat_02!B620</f>
        <v>46061</v>
      </c>
      <c r="D621" s="198"/>
      <c r="E621" s="200">
        <f>Dat_02!C620</f>
        <v>487.75418263304101</v>
      </c>
      <c r="F621" s="200">
        <f>Dat_02!D620</f>
        <v>130.24536147210011</v>
      </c>
      <c r="G621" s="200">
        <f>Dat_02!E620</f>
        <v>130.24536147210011</v>
      </c>
      <c r="I621" s="201">
        <f>Dat_02!G620</f>
        <v>0</v>
      </c>
      <c r="J621" s="207"/>
    </row>
    <row r="622" spans="2:10">
      <c r="B622" s="198"/>
      <c r="C622" s="199">
        <f>Dat_02!B621</f>
        <v>46062</v>
      </c>
      <c r="D622" s="198"/>
      <c r="E622" s="200">
        <f>Dat_02!C621</f>
        <v>483.83391857304099</v>
      </c>
      <c r="F622" s="200">
        <f>Dat_02!D621</f>
        <v>130.24536147210011</v>
      </c>
      <c r="G622" s="200">
        <f>Dat_02!E621</f>
        <v>130.24536147210011</v>
      </c>
      <c r="I622" s="201">
        <f>Dat_02!G621</f>
        <v>0</v>
      </c>
      <c r="J622" s="207"/>
    </row>
    <row r="623" spans="2:10">
      <c r="B623" s="198"/>
      <c r="C623" s="199">
        <f>Dat_02!B622</f>
        <v>46063</v>
      </c>
      <c r="D623" s="198"/>
      <c r="E623" s="200">
        <f>Dat_02!C622</f>
        <v>461.58199978903912</v>
      </c>
      <c r="F623" s="200">
        <f>Dat_02!D622</f>
        <v>130.24536147210011</v>
      </c>
      <c r="G623" s="200">
        <f>Dat_02!E622</f>
        <v>130.24536147210011</v>
      </c>
      <c r="I623" s="201">
        <f>Dat_02!G622</f>
        <v>0</v>
      </c>
      <c r="J623" s="207"/>
    </row>
    <row r="624" spans="2:10">
      <c r="B624" s="198"/>
      <c r="C624" s="199">
        <f>Dat_02!B623</f>
        <v>46064</v>
      </c>
      <c r="D624" s="198"/>
      <c r="E624" s="200">
        <f>Dat_02!C623</f>
        <v>334.56652755386722</v>
      </c>
      <c r="F624" s="200">
        <f>Dat_02!D623</f>
        <v>130.24536147210011</v>
      </c>
      <c r="G624" s="200">
        <f>Dat_02!E623</f>
        <v>130.24536147210011</v>
      </c>
      <c r="I624" s="201">
        <f>Dat_02!G623</f>
        <v>0</v>
      </c>
      <c r="J624" s="207"/>
    </row>
    <row r="625" spans="2:10">
      <c r="B625" s="198"/>
      <c r="C625" s="199">
        <f>Dat_02!B624</f>
        <v>46065</v>
      </c>
      <c r="D625" s="198"/>
      <c r="E625" s="200">
        <f>Dat_02!C624</f>
        <v>329.09526858186723</v>
      </c>
      <c r="F625" s="200">
        <f>Dat_02!D624</f>
        <v>130.24536147210011</v>
      </c>
      <c r="G625" s="200">
        <f>Dat_02!E624</f>
        <v>130.24536147210011</v>
      </c>
      <c r="I625" s="201">
        <f>Dat_02!G624</f>
        <v>0</v>
      </c>
      <c r="J625" s="207"/>
    </row>
    <row r="626" spans="2:10">
      <c r="B626" s="198"/>
      <c r="C626" s="199">
        <f>Dat_02!B625</f>
        <v>46066</v>
      </c>
      <c r="D626" s="198"/>
      <c r="E626" s="200">
        <f>Dat_02!C625</f>
        <v>331.14615158186723</v>
      </c>
      <c r="F626" s="200">
        <f>Dat_02!D625</f>
        <v>130.24536147210011</v>
      </c>
      <c r="G626" s="200">
        <f>Dat_02!E625</f>
        <v>130.24536147210011</v>
      </c>
      <c r="I626" s="201">
        <f>Dat_02!G625</f>
        <v>0</v>
      </c>
      <c r="J626" s="207"/>
    </row>
    <row r="627" spans="2:10">
      <c r="B627" s="198"/>
      <c r="C627" s="199">
        <f>Dat_02!B626</f>
        <v>46067</v>
      </c>
      <c r="D627" s="198"/>
      <c r="E627" s="200">
        <f>Dat_02!C626</f>
        <v>316.04521436186911</v>
      </c>
      <c r="F627" s="200">
        <f>Dat_02!D626</f>
        <v>130.24536147210011</v>
      </c>
      <c r="G627" s="200">
        <f>Dat_02!E626</f>
        <v>130.24536147210011</v>
      </c>
      <c r="I627" s="201" t="str">
        <f>Dat_02!G626</f>
        <v/>
      </c>
      <c r="J627" s="207"/>
    </row>
    <row r="628" spans="2:10">
      <c r="B628" s="198"/>
      <c r="C628" s="199">
        <f>Dat_02!B627</f>
        <v>46068</v>
      </c>
      <c r="D628" s="198"/>
      <c r="E628" s="200">
        <f>Dat_02!C627</f>
        <v>302.0108892018672</v>
      </c>
      <c r="F628" s="200">
        <f>Dat_02!D627</f>
        <v>130.24536147210011</v>
      </c>
      <c r="G628" s="200">
        <f>Dat_02!E627</f>
        <v>130.24536147210011</v>
      </c>
      <c r="I628" s="201">
        <f>Dat_02!G627</f>
        <v>0</v>
      </c>
      <c r="J628" s="207"/>
    </row>
    <row r="629" spans="2:10">
      <c r="B629" s="198"/>
      <c r="C629" s="199">
        <f>Dat_02!B628</f>
        <v>46069</v>
      </c>
      <c r="D629" s="198"/>
      <c r="E629" s="200">
        <f>Dat_02!C628</f>
        <v>310.09547972586722</v>
      </c>
      <c r="F629" s="200">
        <f>Dat_02!D628</f>
        <v>130.24536147210011</v>
      </c>
      <c r="G629" s="200">
        <f>Dat_02!E628</f>
        <v>130.24536147210011</v>
      </c>
      <c r="I629" s="201">
        <f>Dat_02!G628</f>
        <v>0</v>
      </c>
      <c r="J629" s="207"/>
    </row>
    <row r="630" spans="2:10">
      <c r="B630" s="198"/>
      <c r="C630" s="199">
        <f>Dat_02!B629</f>
        <v>46070</v>
      </c>
      <c r="D630" s="198"/>
      <c r="E630" s="200">
        <f>Dat_02!C629</f>
        <v>347.49914172986536</v>
      </c>
      <c r="F630" s="200">
        <f>Dat_02!D629</f>
        <v>130.24536147210011</v>
      </c>
      <c r="G630" s="200">
        <f>Dat_02!E629</f>
        <v>130.24536147210011</v>
      </c>
      <c r="I630" s="201">
        <f>Dat_02!G629</f>
        <v>0</v>
      </c>
      <c r="J630" s="207"/>
    </row>
    <row r="631" spans="2:10">
      <c r="B631" s="198"/>
      <c r="C631" s="199">
        <f>Dat_02!B630</f>
        <v>46071</v>
      </c>
      <c r="D631" s="198"/>
      <c r="E631" s="200">
        <f>Dat_02!C630</f>
        <v>213.55671802123098</v>
      </c>
      <c r="F631" s="200">
        <f>Dat_02!D630</f>
        <v>130.24536147210011</v>
      </c>
      <c r="G631" s="200">
        <f>Dat_02!E630</f>
        <v>130.24536147210011</v>
      </c>
      <c r="I631" s="201">
        <f>Dat_02!G630</f>
        <v>0</v>
      </c>
      <c r="J631" s="207"/>
    </row>
    <row r="632" spans="2:10">
      <c r="B632" s="198"/>
      <c r="C632" s="199">
        <f>Dat_02!B631</f>
        <v>46072</v>
      </c>
      <c r="D632" s="198"/>
      <c r="E632" s="200">
        <f>Dat_02!C631</f>
        <v>202.2783359012254</v>
      </c>
      <c r="F632" s="200">
        <f>Dat_02!D631</f>
        <v>130.24536147210011</v>
      </c>
      <c r="G632" s="200">
        <f>Dat_02!E631</f>
        <v>130.24536147210011</v>
      </c>
      <c r="I632" s="201">
        <f>Dat_02!G631</f>
        <v>0</v>
      </c>
      <c r="J632" s="207"/>
    </row>
    <row r="633" spans="2:10">
      <c r="B633" s="198"/>
      <c r="C633" s="199">
        <f>Dat_02!B632</f>
        <v>46073</v>
      </c>
      <c r="D633" s="198"/>
      <c r="E633" s="200">
        <f>Dat_02!C632</f>
        <v>223.62440670523097</v>
      </c>
      <c r="F633" s="200">
        <f>Dat_02!D632</f>
        <v>130.24536147210011</v>
      </c>
      <c r="G633" s="200">
        <f>Dat_02!E632</f>
        <v>130.24536147210011</v>
      </c>
      <c r="I633" s="201">
        <f>Dat_02!G632</f>
        <v>0</v>
      </c>
      <c r="J633" s="207"/>
    </row>
    <row r="634" spans="2:10">
      <c r="B634" s="198"/>
      <c r="C634" s="199">
        <f>Dat_02!B633</f>
        <v>46074</v>
      </c>
      <c r="D634" s="198"/>
      <c r="E634" s="200">
        <f>Dat_02!C633</f>
        <v>226.71188082922725</v>
      </c>
      <c r="F634" s="200">
        <f>Dat_02!D633</f>
        <v>130.24536147210011</v>
      </c>
      <c r="G634" s="200">
        <f>Dat_02!E633</f>
        <v>130.24536147210011</v>
      </c>
      <c r="I634" s="201">
        <f>Dat_02!G633</f>
        <v>0</v>
      </c>
      <c r="J634" s="207"/>
    </row>
    <row r="635" spans="2:10">
      <c r="B635" s="198"/>
      <c r="C635" s="199">
        <f>Dat_02!B634</f>
        <v>46075</v>
      </c>
      <c r="D635" s="198"/>
      <c r="E635" s="200">
        <f>Dat_02!C634</f>
        <v>211.06745927322913</v>
      </c>
      <c r="F635" s="200">
        <f>Dat_02!D634</f>
        <v>130.24536147210011</v>
      </c>
      <c r="G635" s="200">
        <f>Dat_02!E634</f>
        <v>130.24536147210011</v>
      </c>
      <c r="I635" s="201">
        <f>Dat_02!G634</f>
        <v>0</v>
      </c>
      <c r="J635" s="207"/>
    </row>
    <row r="636" spans="2:10">
      <c r="B636" s="198"/>
      <c r="C636" s="199">
        <f>Dat_02!B635</f>
        <v>46076</v>
      </c>
      <c r="D636" s="198"/>
      <c r="E636" s="200">
        <f>Dat_02!C635</f>
        <v>226.81836729723099</v>
      </c>
      <c r="F636" s="200">
        <f>Dat_02!D635</f>
        <v>130.24536147210011</v>
      </c>
      <c r="G636" s="200">
        <f>Dat_02!E635</f>
        <v>130.24536147210011</v>
      </c>
      <c r="I636" s="201">
        <f>Dat_02!G635</f>
        <v>0</v>
      </c>
      <c r="J636" s="207"/>
    </row>
    <row r="637" spans="2:10">
      <c r="B637" s="198"/>
      <c r="C637" s="199">
        <f>Dat_02!B636</f>
        <v>46077</v>
      </c>
      <c r="D637" s="198"/>
      <c r="E637" s="200">
        <f>Dat_02!C636</f>
        <v>231.51146561722538</v>
      </c>
      <c r="F637" s="200">
        <f>Dat_02!D636</f>
        <v>130.24536147210011</v>
      </c>
      <c r="G637" s="200">
        <f>Dat_02!E636</f>
        <v>130.24536147210011</v>
      </c>
      <c r="I637" s="201">
        <f>Dat_02!G636</f>
        <v>0</v>
      </c>
      <c r="J637" s="207"/>
    </row>
    <row r="638" spans="2:10">
      <c r="B638" s="198"/>
      <c r="C638" s="199">
        <f>Dat_02!B637</f>
        <v>46078</v>
      </c>
      <c r="D638" s="198"/>
      <c r="E638" s="200">
        <f>Dat_02!C637</f>
        <v>175.27242705891157</v>
      </c>
      <c r="F638" s="200">
        <f>Dat_02!D637</f>
        <v>130.24536147210011</v>
      </c>
      <c r="G638" s="200">
        <f>Dat_02!E637</f>
        <v>130.24536147210011</v>
      </c>
      <c r="I638" s="201">
        <f>Dat_02!G637</f>
        <v>0</v>
      </c>
      <c r="J638" s="207"/>
    </row>
    <row r="639" spans="2:10">
      <c r="B639" s="198"/>
      <c r="C639" s="199">
        <f>Dat_02!B638</f>
        <v>46079</v>
      </c>
      <c r="D639" s="198"/>
      <c r="E639" s="200">
        <f>Dat_02!C638</f>
        <v>159.85450787991158</v>
      </c>
      <c r="F639" s="200">
        <f>Dat_02!D638</f>
        <v>130.24536147210011</v>
      </c>
      <c r="G639" s="200">
        <f>Dat_02!E638</f>
        <v>130.24536147210011</v>
      </c>
      <c r="I639" s="201">
        <f>Dat_02!G638</f>
        <v>0</v>
      </c>
      <c r="J639" s="207"/>
    </row>
    <row r="640" spans="2:10">
      <c r="B640" s="198"/>
      <c r="C640" s="199">
        <f>Dat_02!B639</f>
        <v>46080</v>
      </c>
      <c r="D640" s="198"/>
      <c r="E640" s="200">
        <f>Dat_02!C639</f>
        <v>156.97409322990973</v>
      </c>
      <c r="F640" s="200">
        <f>Dat_02!D639</f>
        <v>130.24536147210011</v>
      </c>
      <c r="G640" s="200">
        <f>Dat_02!E639</f>
        <v>130.24536147210011</v>
      </c>
      <c r="I640" s="201">
        <f>Dat_02!G639</f>
        <v>0</v>
      </c>
      <c r="J640" s="207"/>
    </row>
    <row r="641" spans="2:10">
      <c r="B641" s="198"/>
      <c r="C641" s="199">
        <f>Dat_02!B640</f>
        <v>46081</v>
      </c>
      <c r="D641" s="198"/>
      <c r="E641" s="200">
        <f>Dat_02!C640</f>
        <v>139.63063275090786</v>
      </c>
      <c r="F641" s="200">
        <f>Dat_02!D640</f>
        <v>130.24536147210011</v>
      </c>
      <c r="G641" s="200">
        <f>Dat_02!E640</f>
        <v>130.24536147210011</v>
      </c>
      <c r="I641" s="201">
        <f>Dat_02!G640</f>
        <v>0</v>
      </c>
      <c r="J641" s="207"/>
    </row>
    <row r="642" spans="2:10">
      <c r="B642" s="198"/>
      <c r="C642" s="199">
        <f>Dat_02!B641</f>
        <v>46082</v>
      </c>
      <c r="D642" s="198"/>
      <c r="E642" s="200">
        <f>Dat_02!C641</f>
        <v>145.04988385490972</v>
      </c>
      <c r="F642" s="200">
        <f>Dat_02!D641</f>
        <v>137.27594688682913</v>
      </c>
      <c r="G642" s="200">
        <f>Dat_02!E641</f>
        <v>137.27594688682913</v>
      </c>
      <c r="I642" s="201">
        <f>Dat_02!G641</f>
        <v>0</v>
      </c>
      <c r="J642" s="207"/>
    </row>
    <row r="643" spans="2:10">
      <c r="B643" s="198"/>
      <c r="C643" s="199">
        <f>Dat_02!B642</f>
        <v>46083</v>
      </c>
      <c r="D643" s="198"/>
      <c r="E643" s="200">
        <f>Dat_02!C642</f>
        <v>135.6930848069116</v>
      </c>
      <c r="F643" s="200">
        <f>Dat_02!D642</f>
        <v>137.27594688682913</v>
      </c>
      <c r="G643" s="200">
        <f>Dat_02!E642</f>
        <v>135.6930848069116</v>
      </c>
      <c r="I643" s="201">
        <f>Dat_02!G642</f>
        <v>0</v>
      </c>
      <c r="J643" s="207"/>
    </row>
    <row r="644" spans="2:10">
      <c r="B644" s="198"/>
      <c r="C644" s="199">
        <f>Dat_02!B643</f>
        <v>46084</v>
      </c>
      <c r="D644" s="198"/>
      <c r="E644" s="200">
        <f>Dat_02!C643</f>
        <v>188.0857849639097</v>
      </c>
      <c r="F644" s="200">
        <f>Dat_02!D643</f>
        <v>137.27594688682913</v>
      </c>
      <c r="G644" s="200">
        <f>Dat_02!E643</f>
        <v>137.27594688682913</v>
      </c>
      <c r="I644" s="201">
        <f>Dat_02!G643</f>
        <v>0</v>
      </c>
      <c r="J644" s="207"/>
    </row>
    <row r="645" spans="2:10">
      <c r="B645" s="198"/>
      <c r="C645" s="199">
        <f>Dat_02!B644</f>
        <v>46085</v>
      </c>
      <c r="D645" s="198"/>
      <c r="E645" s="200">
        <f>Dat_02!C644</f>
        <v>179.33539994043255</v>
      </c>
      <c r="F645" s="200">
        <f>Dat_02!D644</f>
        <v>137.27594688682913</v>
      </c>
      <c r="G645" s="200">
        <f>Dat_02!E644</f>
        <v>137.27594688682913</v>
      </c>
      <c r="I645" s="201">
        <f>Dat_02!G644</f>
        <v>0</v>
      </c>
      <c r="J645" s="207"/>
    </row>
    <row r="646" spans="2:10">
      <c r="B646" s="198"/>
      <c r="C646" s="199">
        <f>Dat_02!B645</f>
        <v>46086</v>
      </c>
      <c r="D646" s="198"/>
      <c r="E646" s="200">
        <f>Dat_02!C645</f>
        <v>182.62127593343439</v>
      </c>
      <c r="F646" s="200">
        <f>Dat_02!D645</f>
        <v>137.27594688682913</v>
      </c>
      <c r="G646" s="200">
        <f>Dat_02!E645</f>
        <v>137.27594688682913</v>
      </c>
      <c r="I646" s="201">
        <f>Dat_02!G645</f>
        <v>0</v>
      </c>
      <c r="J646" s="207"/>
    </row>
    <row r="647" spans="2:10">
      <c r="B647" s="198"/>
      <c r="C647" s="199">
        <f>Dat_02!B646</f>
        <v>46087</v>
      </c>
      <c r="D647" s="198"/>
      <c r="E647" s="200">
        <f>Dat_02!C646</f>
        <v>166.47430448143066</v>
      </c>
      <c r="F647" s="200">
        <f>Dat_02!D646</f>
        <v>137.27594688682913</v>
      </c>
      <c r="G647" s="200">
        <f>Dat_02!E646</f>
        <v>137.27594688682913</v>
      </c>
      <c r="I647" s="201">
        <f>Dat_02!G646</f>
        <v>0</v>
      </c>
      <c r="J647" s="207"/>
    </row>
    <row r="648" spans="2:10">
      <c r="B648" s="198"/>
      <c r="C648" s="199">
        <f>Dat_02!B647</f>
        <v>46088</v>
      </c>
      <c r="D648" s="198"/>
      <c r="E648" s="200">
        <f>Dat_02!C647</f>
        <v>161.51808291343625</v>
      </c>
      <c r="F648" s="200">
        <f>Dat_02!D647</f>
        <v>137.27594688682913</v>
      </c>
      <c r="G648" s="200">
        <f>Dat_02!E647</f>
        <v>137.27594688682913</v>
      </c>
      <c r="I648" s="201">
        <f>Dat_02!G647</f>
        <v>0</v>
      </c>
      <c r="J648" s="207"/>
    </row>
    <row r="649" spans="2:10">
      <c r="B649" s="198"/>
      <c r="C649" s="199">
        <f>Dat_02!B648</f>
        <v>46089</v>
      </c>
      <c r="D649" s="198"/>
      <c r="E649" s="200">
        <f>Dat_02!C648</f>
        <v>157.48765902243065</v>
      </c>
      <c r="F649" s="200">
        <f>Dat_02!D648</f>
        <v>137.27594688682913</v>
      </c>
      <c r="G649" s="200">
        <f>Dat_02!E648</f>
        <v>137.27594688682913</v>
      </c>
      <c r="I649" s="201">
        <f>Dat_02!G648</f>
        <v>0</v>
      </c>
      <c r="J649" s="207"/>
    </row>
    <row r="650" spans="2:10">
      <c r="B650" s="198"/>
      <c r="C650" s="199">
        <f>Dat_02!B649</f>
        <v>46090</v>
      </c>
      <c r="D650" s="198"/>
      <c r="E650" s="200">
        <f>Dat_02!C649</f>
        <v>175.84599191343437</v>
      </c>
      <c r="F650" s="200">
        <f>Dat_02!D649</f>
        <v>137.27594688682913</v>
      </c>
      <c r="G650" s="200">
        <f>Dat_02!E649</f>
        <v>137.27594688682913</v>
      </c>
      <c r="I650" s="201">
        <f>Dat_02!G649</f>
        <v>0</v>
      </c>
      <c r="J650" s="207"/>
    </row>
    <row r="651" spans="2:10">
      <c r="B651" s="198"/>
      <c r="C651" s="199">
        <f>Dat_02!B650</f>
        <v>46091</v>
      </c>
      <c r="D651" s="198"/>
      <c r="E651" s="200">
        <f>Dat_02!C650</f>
        <v>170.88447220543441</v>
      </c>
      <c r="F651" s="200">
        <f>Dat_02!D650</f>
        <v>137.27594688682913</v>
      </c>
      <c r="G651" s="200">
        <f>Dat_02!E650</f>
        <v>137.27594688682913</v>
      </c>
      <c r="I651" s="201">
        <f>Dat_02!G650</f>
        <v>0</v>
      </c>
      <c r="J651" s="207"/>
    </row>
    <row r="652" spans="2:10">
      <c r="B652" s="198"/>
      <c r="C652" s="199">
        <f>Dat_02!B651</f>
        <v>46092</v>
      </c>
      <c r="D652" s="198"/>
      <c r="E652" s="200">
        <f>Dat_02!C651</f>
        <v>185.12149557487723</v>
      </c>
      <c r="F652" s="200">
        <f>Dat_02!D651</f>
        <v>137.27594688682913</v>
      </c>
      <c r="G652" s="200">
        <f>Dat_02!E651</f>
        <v>137.27594688682913</v>
      </c>
      <c r="I652" s="201">
        <f>Dat_02!G651</f>
        <v>0</v>
      </c>
      <c r="J652" s="207"/>
    </row>
    <row r="653" spans="2:10">
      <c r="B653" s="198"/>
      <c r="C653" s="199">
        <f>Dat_02!B652</f>
        <v>46093</v>
      </c>
      <c r="D653" s="198"/>
      <c r="E653" s="200">
        <f>Dat_02!C652</f>
        <v>172.51988901688094</v>
      </c>
      <c r="F653" s="200">
        <f>Dat_02!D652</f>
        <v>137.27594688682913</v>
      </c>
      <c r="G653" s="200">
        <f>Dat_02!E652</f>
        <v>137.27594688682913</v>
      </c>
      <c r="I653" s="201">
        <f>Dat_02!G652</f>
        <v>0</v>
      </c>
      <c r="J653" s="207"/>
    </row>
    <row r="654" spans="2:10">
      <c r="B654" s="198"/>
      <c r="C654" s="199">
        <f>Dat_02!B653</f>
        <v>46094</v>
      </c>
      <c r="D654" s="198"/>
      <c r="E654" s="200">
        <f>Dat_02!C653</f>
        <v>146.43581160087723</v>
      </c>
      <c r="F654" s="200">
        <f>Dat_02!D653</f>
        <v>137.27594688682913</v>
      </c>
      <c r="G654" s="200">
        <f>Dat_02!E653</f>
        <v>137.27594688682913</v>
      </c>
      <c r="I654" s="201">
        <f>Dat_02!G653</f>
        <v>0</v>
      </c>
      <c r="J654" s="207"/>
    </row>
    <row r="655" spans="2:10">
      <c r="B655" s="198"/>
      <c r="C655" s="199">
        <f>Dat_02!B654</f>
        <v>46095</v>
      </c>
      <c r="D655" s="198"/>
      <c r="E655" s="200">
        <f>Dat_02!C654</f>
        <v>114.44261998187723</v>
      </c>
      <c r="F655" s="200">
        <f>Dat_02!D654</f>
        <v>137.27594688682913</v>
      </c>
      <c r="G655" s="200">
        <f>Dat_02!E654</f>
        <v>114.44261998187723</v>
      </c>
      <c r="I655" s="201">
        <f>Dat_02!G654</f>
        <v>0</v>
      </c>
      <c r="J655" s="207"/>
    </row>
    <row r="656" spans="2:10">
      <c r="B656" s="198"/>
      <c r="C656" s="199">
        <f>Dat_02!B655</f>
        <v>46096</v>
      </c>
      <c r="D656" s="198"/>
      <c r="E656" s="200">
        <f>Dat_02!C655</f>
        <v>100.62032380187722</v>
      </c>
      <c r="F656" s="200">
        <f>Dat_02!D655</f>
        <v>137.27594688682913</v>
      </c>
      <c r="G656" s="200">
        <f>Dat_02!E655</f>
        <v>100.62032380187722</v>
      </c>
      <c r="I656" s="201">
        <f>Dat_02!G655</f>
        <v>0</v>
      </c>
      <c r="J656" s="207"/>
    </row>
    <row r="657" spans="2:10">
      <c r="B657" s="198"/>
      <c r="C657" s="199">
        <f>Dat_02!B656</f>
        <v>46097</v>
      </c>
      <c r="D657" s="198"/>
      <c r="E657" s="200">
        <f>Dat_02!C656</f>
        <v>137.06542471387908</v>
      </c>
      <c r="F657" s="200">
        <f>Dat_02!D656</f>
        <v>137.27594688682913</v>
      </c>
      <c r="G657" s="200">
        <f>Dat_02!E656</f>
        <v>137.06542471387908</v>
      </c>
      <c r="I657" s="201" t="str">
        <f>Dat_02!G656</f>
        <v/>
      </c>
      <c r="J657" s="207"/>
    </row>
    <row r="658" spans="2:10">
      <c r="B658" s="198"/>
      <c r="C658" s="199">
        <f>Dat_02!B657</f>
        <v>46098</v>
      </c>
      <c r="D658" s="198"/>
      <c r="E658" s="200">
        <f>Dat_02!C657</f>
        <v>151.85324682987908</v>
      </c>
      <c r="F658" s="200">
        <f>Dat_02!D657</f>
        <v>137.27594688682913</v>
      </c>
      <c r="G658" s="200">
        <f>Dat_02!E657</f>
        <v>137.27594688682913</v>
      </c>
      <c r="I658" s="201">
        <f>Dat_02!G657</f>
        <v>0</v>
      </c>
      <c r="J658" s="207"/>
    </row>
    <row r="659" spans="2:10">
      <c r="B659" s="198"/>
      <c r="C659" s="199">
        <f>Dat_02!B658</f>
        <v>46099</v>
      </c>
      <c r="D659" s="198"/>
      <c r="E659" s="200">
        <f>Dat_02!C658</f>
        <v>140.58984365155317</v>
      </c>
      <c r="F659" s="200">
        <f>Dat_02!D658</f>
        <v>137.27594688682913</v>
      </c>
      <c r="G659" s="200">
        <f>Dat_02!E658</f>
        <v>137.27594688682913</v>
      </c>
      <c r="I659" s="201">
        <f>Dat_02!G658</f>
        <v>0</v>
      </c>
      <c r="J659" s="207"/>
    </row>
    <row r="660" spans="2:10">
      <c r="B660" s="198"/>
      <c r="C660" s="199">
        <f>Dat_02!B659</f>
        <v>46100</v>
      </c>
      <c r="D660" s="198"/>
      <c r="E660" s="200">
        <f>Dat_02!C659</f>
        <v>119.39261836855691</v>
      </c>
      <c r="F660" s="200">
        <f>Dat_02!D659</f>
        <v>137.27594688682913</v>
      </c>
      <c r="G660" s="200">
        <f>Dat_02!E659</f>
        <v>119.39261836855691</v>
      </c>
      <c r="I660" s="201">
        <f>Dat_02!G659</f>
        <v>0</v>
      </c>
      <c r="J660" s="207"/>
    </row>
    <row r="661" spans="2:10">
      <c r="B661" s="198"/>
      <c r="C661" s="199">
        <f>Dat_02!B660</f>
        <v>46101</v>
      </c>
      <c r="D661" s="198"/>
      <c r="E661" s="200">
        <f>Dat_02!C660</f>
        <v>157.99740078655691</v>
      </c>
      <c r="F661" s="200">
        <f>Dat_02!D660</f>
        <v>137.27594688682913</v>
      </c>
      <c r="G661" s="200">
        <f>Dat_02!E660</f>
        <v>137.27594688682913</v>
      </c>
      <c r="I661" s="201">
        <f>Dat_02!G660</f>
        <v>0</v>
      </c>
      <c r="J661" s="207"/>
    </row>
    <row r="662" spans="2:10">
      <c r="B662" s="198"/>
      <c r="C662" s="199">
        <f>Dat_02!B661</f>
        <v>46102</v>
      </c>
      <c r="D662" s="198"/>
      <c r="E662" s="200">
        <f>Dat_02!C661</f>
        <v>155.40672913955504</v>
      </c>
      <c r="F662" s="200">
        <f>Dat_02!D661</f>
        <v>137.27594688682913</v>
      </c>
      <c r="G662" s="200">
        <f>Dat_02!E661</f>
        <v>137.27594688682913</v>
      </c>
      <c r="I662" s="201">
        <f>Dat_02!G661</f>
        <v>0</v>
      </c>
      <c r="J662" s="207"/>
    </row>
    <row r="663" spans="2:10">
      <c r="B663" s="198"/>
      <c r="C663" s="199">
        <f>Dat_02!B662</f>
        <v>46103</v>
      </c>
      <c r="D663" s="198"/>
      <c r="E663" s="200">
        <f>Dat_02!C662</f>
        <v>122.88213651255319</v>
      </c>
      <c r="F663" s="200">
        <f>Dat_02!D662</f>
        <v>137.27594688682913</v>
      </c>
      <c r="G663" s="200">
        <f>Dat_02!E662</f>
        <v>122.88213651255319</v>
      </c>
      <c r="I663" s="201">
        <f>Dat_02!G662</f>
        <v>0</v>
      </c>
      <c r="J663" s="207"/>
    </row>
    <row r="664" spans="2:10">
      <c r="B664" s="198"/>
      <c r="C664" s="199">
        <f>Dat_02!B663</f>
        <v>46104</v>
      </c>
      <c r="D664" s="198"/>
      <c r="E664" s="200">
        <f>Dat_02!C663</f>
        <v>118.93367184655506</v>
      </c>
      <c r="F664" s="200">
        <f>Dat_02!D663</f>
        <v>137.27594688682913</v>
      </c>
      <c r="G664" s="200">
        <f>Dat_02!E663</f>
        <v>118.93367184655506</v>
      </c>
      <c r="I664" s="201">
        <f>Dat_02!G663</f>
        <v>0</v>
      </c>
      <c r="J664" s="207"/>
    </row>
    <row r="665" spans="2:10">
      <c r="B665" s="198"/>
      <c r="C665" s="199">
        <f>Dat_02!B664</f>
        <v>46105</v>
      </c>
      <c r="D665" s="198"/>
      <c r="E665" s="200">
        <f>Dat_02!C664</f>
        <v>132.99573611155503</v>
      </c>
      <c r="F665" s="200">
        <f>Dat_02!D664</f>
        <v>137.27594688682913</v>
      </c>
      <c r="G665" s="200">
        <f>Dat_02!E664</f>
        <v>132.99573611155503</v>
      </c>
      <c r="I665" s="201">
        <f>Dat_02!G664</f>
        <v>0</v>
      </c>
      <c r="J665" s="207"/>
    </row>
    <row r="666" spans="2:10">
      <c r="B666" s="198"/>
      <c r="C666" s="199">
        <f>Dat_02!B665</f>
        <v>46106</v>
      </c>
      <c r="D666" s="198"/>
      <c r="E666" s="200">
        <f>Dat_02!C665</f>
        <v>106.76487909682987</v>
      </c>
      <c r="F666" s="200">
        <f>Dat_02!D665</f>
        <v>137.27594688682913</v>
      </c>
      <c r="G666" s="200">
        <f>Dat_02!E665</f>
        <v>106.76487909682987</v>
      </c>
      <c r="I666" s="201">
        <f>Dat_02!G665</f>
        <v>0</v>
      </c>
      <c r="J666" s="207"/>
    </row>
    <row r="667" spans="2:10">
      <c r="B667" s="198"/>
      <c r="C667" s="199">
        <f>Dat_02!B666</f>
        <v>46107</v>
      </c>
      <c r="D667" s="198"/>
      <c r="E667" s="200">
        <f>Dat_02!C666</f>
        <v>71.280996678833603</v>
      </c>
      <c r="F667" s="200">
        <f>Dat_02!D666</f>
        <v>137.27594688682913</v>
      </c>
      <c r="G667" s="200">
        <f>Dat_02!E666</f>
        <v>71.280996678833603</v>
      </c>
      <c r="I667" s="201">
        <f>Dat_02!G666</f>
        <v>0</v>
      </c>
      <c r="J667" s="207"/>
    </row>
    <row r="668" spans="2:10">
      <c r="B668" s="198"/>
      <c r="C668" s="199">
        <f>Dat_02!B667</f>
        <v>46108</v>
      </c>
      <c r="D668" s="198"/>
      <c r="E668" s="200">
        <f>Dat_02!C667</f>
        <v>69.412602800831735</v>
      </c>
      <c r="F668" s="200">
        <f>Dat_02!D667</f>
        <v>137.27594688682913</v>
      </c>
      <c r="G668" s="200">
        <f>Dat_02!E667</f>
        <v>69.412602800831735</v>
      </c>
      <c r="I668" s="201">
        <f>Dat_02!G667</f>
        <v>0</v>
      </c>
      <c r="J668" s="207"/>
    </row>
    <row r="669" spans="2:10">
      <c r="B669" s="198"/>
      <c r="C669" s="199">
        <f>Dat_02!B668</f>
        <v>46109</v>
      </c>
      <c r="D669" s="198"/>
      <c r="E669" s="200">
        <f>Dat_02!C668</f>
        <v>48.286059842829879</v>
      </c>
      <c r="F669" s="200">
        <f>Dat_02!D668</f>
        <v>137.27594688682913</v>
      </c>
      <c r="G669" s="200">
        <f>Dat_02!E668</f>
        <v>48.286059842829879</v>
      </c>
      <c r="I669" s="201">
        <f>Dat_02!G668</f>
        <v>0</v>
      </c>
      <c r="J669" s="207"/>
    </row>
    <row r="670" spans="2:10">
      <c r="B670" s="198"/>
      <c r="C670" s="199">
        <f>Dat_02!B669</f>
        <v>46110</v>
      </c>
      <c r="D670" s="198"/>
      <c r="E670" s="200">
        <f>Dat_02!C669</f>
        <v>48.756009019831737</v>
      </c>
      <c r="F670" s="200">
        <f>Dat_02!D669</f>
        <v>137.27594688682913</v>
      </c>
      <c r="G670" s="200">
        <f>Dat_02!E669</f>
        <v>48.756009019831737</v>
      </c>
      <c r="I670" s="201">
        <f>Dat_02!G669</f>
        <v>0</v>
      </c>
      <c r="J670" s="207"/>
    </row>
    <row r="671" spans="2:10">
      <c r="B671" s="198"/>
      <c r="C671" s="199">
        <f>Dat_02!B670</f>
        <v>46111</v>
      </c>
      <c r="D671" s="198"/>
      <c r="E671" s="200">
        <f>Dat_02!C670</f>
        <v>69.654697420828015</v>
      </c>
      <c r="F671" s="200">
        <f>Dat_02!D670</f>
        <v>137.27594688682913</v>
      </c>
      <c r="G671" s="200">
        <f>Dat_02!E670</f>
        <v>69.654697420828015</v>
      </c>
      <c r="I671" s="201">
        <f>Dat_02!G670</f>
        <v>0</v>
      </c>
      <c r="J671" s="207"/>
    </row>
    <row r="672" spans="2:10">
      <c r="B672" s="198"/>
      <c r="C672" s="199">
        <f>Dat_02!B671</f>
        <v>46112</v>
      </c>
      <c r="D672" s="198"/>
      <c r="E672" s="200">
        <f>Dat_02!C671</f>
        <v>60.100409236831737</v>
      </c>
      <c r="F672" s="200">
        <f>Dat_02!D671</f>
        <v>137.27594688682913</v>
      </c>
      <c r="G672" s="200">
        <f>Dat_02!E671</f>
        <v>60.100409236831737</v>
      </c>
      <c r="I672" s="201">
        <f>Dat_02!G671</f>
        <v>0</v>
      </c>
      <c r="J672" s="207"/>
    </row>
    <row r="673" spans="2:10">
      <c r="B673" s="198"/>
      <c r="C673" s="199">
        <f>Dat_02!B672</f>
        <v>46113</v>
      </c>
      <c r="D673" s="198"/>
      <c r="E673" s="200">
        <f>Dat_02!C672</f>
        <v>90.954410886125189</v>
      </c>
      <c r="F673" s="200">
        <f>Dat_02!D672</f>
        <v>127.74862877812576</v>
      </c>
      <c r="G673" s="200">
        <f>Dat_02!E672</f>
        <v>90.954410886125189</v>
      </c>
      <c r="I673" s="201">
        <f>Dat_02!G672</f>
        <v>0</v>
      </c>
      <c r="J673" s="207"/>
    </row>
    <row r="674" spans="2:10">
      <c r="B674" s="198"/>
      <c r="C674" s="199">
        <f>Dat_02!B673</f>
        <v>46114</v>
      </c>
      <c r="D674" s="198"/>
      <c r="E674" s="200">
        <f>Dat_02!C673</f>
        <v>82.548418672123347</v>
      </c>
      <c r="F674" s="200">
        <f>Dat_02!D673</f>
        <v>127.74862877812576</v>
      </c>
      <c r="G674" s="200">
        <f>Dat_02!E673</f>
        <v>82.548418672123347</v>
      </c>
      <c r="I674" s="201">
        <f>Dat_02!G673</f>
        <v>0</v>
      </c>
      <c r="J674" s="207"/>
    </row>
    <row r="675" spans="2:10">
      <c r="B675" s="198"/>
      <c r="C675" s="199">
        <f>Dat_02!B674</f>
        <v>46115</v>
      </c>
      <c r="D675" s="198"/>
      <c r="E675" s="200">
        <f>Dat_02!C674</f>
        <v>92.920710942121474</v>
      </c>
      <c r="F675" s="200">
        <f>Dat_02!D674</f>
        <v>127.74862877812576</v>
      </c>
      <c r="G675" s="200">
        <f>Dat_02!E674</f>
        <v>92.920710942121474</v>
      </c>
      <c r="I675" s="201">
        <f>Dat_02!G674</f>
        <v>0</v>
      </c>
      <c r="J675" s="207"/>
    </row>
    <row r="676" spans="2:10">
      <c r="B676" s="198"/>
      <c r="C676" s="199">
        <f>Dat_02!B675</f>
        <v>46116</v>
      </c>
      <c r="D676" s="198"/>
      <c r="E676" s="200">
        <f>Dat_02!C675</f>
        <v>94.420891944121465</v>
      </c>
      <c r="F676" s="200">
        <f>Dat_02!D675</f>
        <v>127.74862877812576</v>
      </c>
      <c r="G676" s="200">
        <f>Dat_02!E675</f>
        <v>94.420891944121465</v>
      </c>
      <c r="I676" s="201">
        <f>Dat_02!G675</f>
        <v>0</v>
      </c>
      <c r="J676" s="207"/>
    </row>
    <row r="677" spans="2:10">
      <c r="B677" s="198"/>
      <c r="C677" s="199">
        <f>Dat_02!B676</f>
        <v>46117</v>
      </c>
      <c r="D677" s="198"/>
      <c r="E677" s="200">
        <f>Dat_02!C676</f>
        <v>95.678114066123342</v>
      </c>
      <c r="F677" s="200">
        <f>Dat_02!D676</f>
        <v>127.74862877812576</v>
      </c>
      <c r="G677" s="200">
        <f>Dat_02!E676</f>
        <v>95.678114066123342</v>
      </c>
      <c r="I677" s="201">
        <f>Dat_02!G676</f>
        <v>0</v>
      </c>
      <c r="J677" s="207"/>
    </row>
    <row r="678" spans="2:10">
      <c r="B678" s="198"/>
      <c r="C678" s="199">
        <f>Dat_02!B677</f>
        <v>46118</v>
      </c>
      <c r="D678" s="198"/>
      <c r="E678" s="200">
        <f>Dat_02!C677</f>
        <v>90.481906112125188</v>
      </c>
      <c r="F678" s="200">
        <f>Dat_02!D677</f>
        <v>127.74862877812576</v>
      </c>
      <c r="G678" s="200">
        <f>Dat_02!E677</f>
        <v>90.481906112125188</v>
      </c>
      <c r="I678" s="201">
        <f>Dat_02!G677</f>
        <v>0</v>
      </c>
      <c r="J678" s="207"/>
    </row>
    <row r="679" spans="2:10">
      <c r="B679" s="198"/>
      <c r="C679" s="199">
        <f>Dat_02!B678</f>
        <v>46119</v>
      </c>
      <c r="D679" s="198"/>
      <c r="E679" s="200">
        <f>Dat_02!C678</f>
        <v>120.59630407412146</v>
      </c>
      <c r="F679" s="200">
        <f>Dat_02!D678</f>
        <v>127.74862877812576</v>
      </c>
      <c r="G679" s="200">
        <f>Dat_02!E678</f>
        <v>120.59630407412146</v>
      </c>
      <c r="I679" s="201">
        <f>Dat_02!G678</f>
        <v>0</v>
      </c>
      <c r="J679" s="207"/>
    </row>
    <row r="680" spans="2:10">
      <c r="B680" s="198"/>
      <c r="C680" s="199">
        <f>Dat_02!B679</f>
        <v>46120</v>
      </c>
      <c r="D680" s="198"/>
      <c r="E680" s="200">
        <f>Dat_02!C679</f>
        <v>127.43163898759407</v>
      </c>
      <c r="F680" s="200">
        <f>Dat_02!D679</f>
        <v>127.74862877812576</v>
      </c>
      <c r="G680" s="200">
        <f>Dat_02!E679</f>
        <v>127.43163898759407</v>
      </c>
      <c r="I680" s="201">
        <f>Dat_02!G679</f>
        <v>0</v>
      </c>
      <c r="J680" s="207"/>
    </row>
    <row r="681" spans="2:10">
      <c r="B681" s="198"/>
      <c r="C681" s="199">
        <f>Dat_02!B680</f>
        <v>46121</v>
      </c>
      <c r="D681" s="198"/>
      <c r="E681" s="200">
        <f>Dat_02!C680</f>
        <v>119.47021666159593</v>
      </c>
      <c r="F681" s="200">
        <f>Dat_02!D680</f>
        <v>127.74862877812576</v>
      </c>
      <c r="G681" s="200">
        <f>Dat_02!E680</f>
        <v>119.47021666159593</v>
      </c>
      <c r="I681" s="201">
        <f>Dat_02!G680</f>
        <v>0</v>
      </c>
      <c r="J681" s="207"/>
    </row>
    <row r="682" spans="2:10">
      <c r="B682" s="198"/>
      <c r="C682" s="199">
        <f>Dat_02!B681</f>
        <v>46122</v>
      </c>
      <c r="D682" s="198"/>
      <c r="E682" s="200">
        <f>Dat_02!C681</f>
        <v>103.56574747959593</v>
      </c>
      <c r="F682" s="200">
        <f>Dat_02!D681</f>
        <v>127.74862877812576</v>
      </c>
      <c r="G682" s="200">
        <f>Dat_02!E681</f>
        <v>103.56574747959593</v>
      </c>
      <c r="I682" s="201">
        <f>Dat_02!G681</f>
        <v>0</v>
      </c>
      <c r="J682" s="207"/>
    </row>
    <row r="683" spans="2:10">
      <c r="B683" s="198"/>
      <c r="C683" s="199">
        <f>Dat_02!B682</f>
        <v>46123</v>
      </c>
      <c r="D683" s="198"/>
      <c r="E683" s="200">
        <f>Dat_02!C682</f>
        <v>78.185238966594071</v>
      </c>
      <c r="F683" s="200">
        <f>Dat_02!D682</f>
        <v>127.74862877812576</v>
      </c>
      <c r="G683" s="200">
        <f>Dat_02!E682</f>
        <v>78.185238966594071</v>
      </c>
      <c r="I683" s="201">
        <f>Dat_02!G682</f>
        <v>0</v>
      </c>
      <c r="J683" s="207"/>
    </row>
    <row r="684" spans="2:10">
      <c r="B684" s="198"/>
      <c r="C684" s="199">
        <f>Dat_02!B683</f>
        <v>46124</v>
      </c>
      <c r="D684" s="198"/>
      <c r="E684" s="200">
        <f>Dat_02!C683</f>
        <v>57.454799726597798</v>
      </c>
      <c r="F684" s="200">
        <f>Dat_02!D683</f>
        <v>127.74862877812576</v>
      </c>
      <c r="G684" s="200">
        <f>Dat_02!E683</f>
        <v>57.454799726597798</v>
      </c>
      <c r="I684" s="201">
        <f>Dat_02!G683</f>
        <v>0</v>
      </c>
      <c r="J684" s="207"/>
    </row>
    <row r="685" spans="2:10">
      <c r="B685" s="198"/>
      <c r="C685" s="199">
        <f>Dat_02!B684</f>
        <v>46125</v>
      </c>
      <c r="D685" s="198"/>
      <c r="E685" s="200">
        <f>Dat_02!C684</f>
        <v>67.208198955594071</v>
      </c>
      <c r="F685" s="200">
        <f>Dat_02!D684</f>
        <v>127.74862877812576</v>
      </c>
      <c r="G685" s="200">
        <f>Dat_02!E684</f>
        <v>67.208198955594071</v>
      </c>
      <c r="I685" s="201">
        <f>Dat_02!G684</f>
        <v>0</v>
      </c>
      <c r="J685" s="207"/>
    </row>
    <row r="686" spans="2:10">
      <c r="B686" s="198"/>
      <c r="C686" s="199">
        <f>Dat_02!B685</f>
        <v>46126</v>
      </c>
      <c r="D686" s="198"/>
      <c r="E686" s="200">
        <f>Dat_02!C685</f>
        <v>88.387972225595931</v>
      </c>
      <c r="F686" s="200">
        <f>Dat_02!D685</f>
        <v>127.74862877812576</v>
      </c>
      <c r="G686" s="200">
        <f>Dat_02!E685</f>
        <v>88.387972225595931</v>
      </c>
      <c r="I686" s="201">
        <f>Dat_02!G685</f>
        <v>0</v>
      </c>
      <c r="J686" s="207"/>
    </row>
    <row r="687" spans="2:10">
      <c r="B687" s="198"/>
      <c r="C687" s="199">
        <f>Dat_02!B686</f>
        <v>46127</v>
      </c>
      <c r="D687" s="198"/>
      <c r="E687" s="200">
        <f>Dat_02!C686</f>
        <v>87.844399155429457</v>
      </c>
      <c r="F687" s="200">
        <f>Dat_02!D686</f>
        <v>127.74862877812576</v>
      </c>
      <c r="G687" s="200">
        <f>Dat_02!E686</f>
        <v>87.844399155429457</v>
      </c>
      <c r="I687" s="201">
        <f>Dat_02!G686</f>
        <v>0</v>
      </c>
      <c r="J687" s="207"/>
    </row>
    <row r="688" spans="2:10">
      <c r="B688" s="198"/>
      <c r="C688" s="199">
        <f>Dat_02!B687</f>
        <v>46128</v>
      </c>
      <c r="D688" s="198"/>
      <c r="E688" s="200">
        <f>Dat_02!C687</f>
        <v>93.660145318433194</v>
      </c>
      <c r="F688" s="200">
        <f>Dat_02!D687</f>
        <v>127.74862877812576</v>
      </c>
      <c r="G688" s="200">
        <f>Dat_02!E687</f>
        <v>93.660145318433194</v>
      </c>
      <c r="I688" s="201" t="str">
        <f>Dat_02!G687</f>
        <v/>
      </c>
      <c r="J688" s="207"/>
    </row>
    <row r="689" spans="2:10">
      <c r="B689" s="198"/>
      <c r="C689" s="199">
        <f>Dat_02!B688</f>
        <v>46129</v>
      </c>
      <c r="D689" s="198"/>
      <c r="E689" s="200">
        <f>Dat_02!C688</f>
        <v>103.88382140443319</v>
      </c>
      <c r="F689" s="200">
        <f>Dat_02!D688</f>
        <v>127.74862877812576</v>
      </c>
      <c r="G689" s="200">
        <f>Dat_02!E688</f>
        <v>103.88382140443319</v>
      </c>
      <c r="I689" s="201">
        <f>Dat_02!G688</f>
        <v>0</v>
      </c>
      <c r="J689" s="207"/>
    </row>
    <row r="690" spans="2:10">
      <c r="B690" s="198"/>
      <c r="C690" s="199">
        <f>Dat_02!B689</f>
        <v>46130</v>
      </c>
      <c r="D690" s="198"/>
      <c r="E690" s="200">
        <f>Dat_02!C689</f>
        <v>66.35781407942946</v>
      </c>
      <c r="F690" s="200">
        <f>Dat_02!D689</f>
        <v>127.74862877812576</v>
      </c>
      <c r="G690" s="200">
        <f>Dat_02!E689</f>
        <v>66.35781407942946</v>
      </c>
      <c r="I690" s="201">
        <f>Dat_02!G689</f>
        <v>0</v>
      </c>
      <c r="J690" s="207"/>
    </row>
    <row r="691" spans="2:10">
      <c r="B691" s="198"/>
      <c r="C691" s="199">
        <f>Dat_02!B690</f>
        <v>46131</v>
      </c>
      <c r="D691" s="198"/>
      <c r="E691" s="200">
        <f>Dat_02!C690</f>
        <v>46.572328499433191</v>
      </c>
      <c r="F691" s="200">
        <f>Dat_02!D690</f>
        <v>127.74862877812576</v>
      </c>
      <c r="G691" s="200">
        <f>Dat_02!E690</f>
        <v>46.572328499433191</v>
      </c>
      <c r="I691" s="201">
        <f>Dat_02!G690</f>
        <v>0</v>
      </c>
      <c r="J691" s="207"/>
    </row>
    <row r="692" spans="2:10">
      <c r="B692" s="198"/>
      <c r="C692" s="199">
        <f>Dat_02!B691</f>
        <v>46132</v>
      </c>
      <c r="D692" s="198"/>
      <c r="E692" s="200">
        <f>Dat_02!C691</f>
        <v>75.848485748433191</v>
      </c>
      <c r="F692" s="200">
        <f>Dat_02!D691</f>
        <v>127.74862877812576</v>
      </c>
      <c r="G692" s="200">
        <f>Dat_02!E691</f>
        <v>75.848485748433191</v>
      </c>
      <c r="I692" s="201">
        <f>Dat_02!G691</f>
        <v>0</v>
      </c>
      <c r="J692" s="207"/>
    </row>
    <row r="693" spans="2:10">
      <c r="B693" s="198"/>
      <c r="C693" s="199">
        <f>Dat_02!B692</f>
        <v>46133</v>
      </c>
      <c r="D693" s="198"/>
      <c r="E693" s="200">
        <f>Dat_02!C692</f>
        <v>68.827133293431331</v>
      </c>
      <c r="F693" s="200">
        <f>Dat_02!D692</f>
        <v>127.74862877812576</v>
      </c>
      <c r="G693" s="200">
        <f>Dat_02!E692</f>
        <v>68.827133293431331</v>
      </c>
      <c r="I693" s="201">
        <f>Dat_02!G692</f>
        <v>0</v>
      </c>
      <c r="J693" s="207"/>
    </row>
    <row r="694" spans="2:10">
      <c r="B694" s="198"/>
      <c r="C694" s="199">
        <f>Dat_02!B693</f>
        <v>46134</v>
      </c>
      <c r="D694" s="198"/>
      <c r="E694" s="200">
        <f>Dat_02!C693</f>
        <v>78.444099388637326</v>
      </c>
      <c r="F694" s="200">
        <f>Dat_02!D693</f>
        <v>127.74862877812576</v>
      </c>
      <c r="G694" s="200">
        <f>Dat_02!E693</f>
        <v>78.444099388637326</v>
      </c>
      <c r="I694" s="201">
        <f>Dat_02!G693</f>
        <v>0</v>
      </c>
      <c r="J694" s="207"/>
    </row>
    <row r="695" spans="2:10">
      <c r="B695" s="198"/>
      <c r="C695" s="199">
        <f>Dat_02!B694</f>
        <v>46135</v>
      </c>
      <c r="D695" s="198"/>
      <c r="E695" s="200">
        <f>Dat_02!C694</f>
        <v>78.403106478637326</v>
      </c>
      <c r="F695" s="200">
        <f>Dat_02!D694</f>
        <v>127.74862877812576</v>
      </c>
      <c r="G695" s="200">
        <f>Dat_02!E694</f>
        <v>78.403106478637326</v>
      </c>
      <c r="I695" s="201">
        <f>Dat_02!G694</f>
        <v>0</v>
      </c>
      <c r="J695" s="207"/>
    </row>
    <row r="696" spans="2:10">
      <c r="B696" s="198"/>
      <c r="C696" s="199">
        <f>Dat_02!B695</f>
        <v>46136</v>
      </c>
      <c r="D696" s="198"/>
      <c r="E696" s="200">
        <f>Dat_02!C695</f>
        <v>93.719806265639193</v>
      </c>
      <c r="F696" s="200">
        <f>Dat_02!D695</f>
        <v>127.74862877812576</v>
      </c>
      <c r="G696" s="200">
        <f>Dat_02!E695</f>
        <v>93.719806265639193</v>
      </c>
      <c r="I696" s="201">
        <f>Dat_02!G695</f>
        <v>0</v>
      </c>
      <c r="J696" s="207"/>
    </row>
    <row r="697" spans="2:10">
      <c r="B697" s="198"/>
      <c r="C697" s="199">
        <f>Dat_02!B696</f>
        <v>46137</v>
      </c>
      <c r="D697" s="198"/>
      <c r="E697" s="200">
        <f>Dat_02!C696</f>
        <v>74.781610486635472</v>
      </c>
      <c r="F697" s="200">
        <f>Dat_02!D696</f>
        <v>127.74862877812576</v>
      </c>
      <c r="G697" s="200">
        <f>Dat_02!E696</f>
        <v>74.781610486635472</v>
      </c>
      <c r="I697" s="201">
        <f>Dat_02!G696</f>
        <v>0</v>
      </c>
      <c r="J697" s="207"/>
    </row>
    <row r="698" spans="2:10">
      <c r="B698" s="198"/>
      <c r="C698" s="199">
        <f>Dat_02!B697</f>
        <v>46138</v>
      </c>
      <c r="D698" s="198"/>
      <c r="E698" s="200">
        <f>Dat_02!C697</f>
        <v>54.946524059639195</v>
      </c>
      <c r="F698" s="200">
        <f>Dat_02!D697</f>
        <v>127.74862877812576</v>
      </c>
      <c r="G698" s="200">
        <f>Dat_02!E697</f>
        <v>54.946524059639195</v>
      </c>
      <c r="I698" s="201">
        <f>Dat_02!G697</f>
        <v>0</v>
      </c>
      <c r="J698" s="207"/>
    </row>
    <row r="699" spans="2:10">
      <c r="B699" s="198"/>
      <c r="C699" s="199">
        <f>Dat_02!B698</f>
        <v>46139</v>
      </c>
      <c r="D699" s="198"/>
      <c r="E699" s="200">
        <f>Dat_02!C698</f>
        <v>65.856687558637333</v>
      </c>
      <c r="F699" s="200">
        <f>Dat_02!D698</f>
        <v>127.74862877812576</v>
      </c>
      <c r="G699" s="200">
        <f>Dat_02!E698</f>
        <v>65.856687558637333</v>
      </c>
      <c r="I699" s="201">
        <f>Dat_02!G698</f>
        <v>0</v>
      </c>
      <c r="J699" s="207"/>
    </row>
    <row r="700" spans="2:10">
      <c r="B700" s="198"/>
      <c r="C700" s="199">
        <f>Dat_02!B699</f>
        <v>46140</v>
      </c>
      <c r="D700" s="198"/>
      <c r="E700" s="200">
        <f>Dat_02!C699</f>
        <v>70.928353295639198</v>
      </c>
      <c r="F700" s="200">
        <f>Dat_02!D699</f>
        <v>127.74862877812576</v>
      </c>
      <c r="G700" s="200">
        <f>Dat_02!E699</f>
        <v>70.928353295639198</v>
      </c>
      <c r="I700" s="201">
        <f>Dat_02!G699</f>
        <v>0</v>
      </c>
      <c r="J700" s="207"/>
    </row>
    <row r="701" spans="2:10">
      <c r="B701" s="198"/>
      <c r="C701" s="199">
        <f>Dat_02!B700</f>
        <v>46141</v>
      </c>
      <c r="D701" s="198"/>
      <c r="E701" s="200">
        <f>Dat_02!C700</f>
        <v>106.53722492599499</v>
      </c>
      <c r="F701" s="200">
        <f>Dat_02!D700</f>
        <v>127.74862877812576</v>
      </c>
      <c r="G701" s="200">
        <f>Dat_02!E700</f>
        <v>106.53722492599499</v>
      </c>
      <c r="I701" s="201">
        <f>Dat_02!G700</f>
        <v>0</v>
      </c>
      <c r="J701" s="207"/>
    </row>
    <row r="702" spans="2:10">
      <c r="B702" s="198"/>
      <c r="C702" s="199">
        <f>Dat_02!B701</f>
        <v>46142</v>
      </c>
      <c r="D702" s="198"/>
      <c r="E702" s="200">
        <f>Dat_02!C701</f>
        <v>108.04056139800245</v>
      </c>
      <c r="F702" s="200">
        <f>Dat_02!D701</f>
        <v>127.74862877812576</v>
      </c>
      <c r="G702" s="200">
        <f>Dat_02!E701</f>
        <v>108.04056139800245</v>
      </c>
      <c r="I702" s="201">
        <f>Dat_02!G701</f>
        <v>0</v>
      </c>
      <c r="J702" s="207"/>
    </row>
    <row r="703" spans="2:10">
      <c r="B703" s="198"/>
      <c r="C703" s="199">
        <f>Dat_02!B702</f>
        <v>46143</v>
      </c>
      <c r="D703" s="198"/>
      <c r="E703" s="200">
        <f>Dat_02!C702</f>
        <v>86.989402905994993</v>
      </c>
      <c r="F703" s="200">
        <f>Dat_02!D702</f>
        <v>96.996337327600401</v>
      </c>
      <c r="G703" s="200">
        <f>Dat_02!E702</f>
        <v>86.989402905994993</v>
      </c>
      <c r="I703" s="201">
        <f>Dat_02!G702</f>
        <v>0</v>
      </c>
      <c r="J703" s="207"/>
    </row>
    <row r="704" spans="2:10">
      <c r="B704" s="198"/>
      <c r="C704" s="199">
        <f>Dat_02!B703</f>
        <v>46144</v>
      </c>
      <c r="D704" s="198"/>
      <c r="E704" s="200">
        <f>Dat_02!C703</f>
        <v>74.728085611996846</v>
      </c>
      <c r="F704" s="200">
        <f>Dat_02!D703</f>
        <v>96.996337327600401</v>
      </c>
      <c r="G704" s="200">
        <f>Dat_02!E703</f>
        <v>74.728085611996846</v>
      </c>
      <c r="I704" s="201">
        <f>Dat_02!G703</f>
        <v>0</v>
      </c>
      <c r="J704" s="207"/>
    </row>
    <row r="705" spans="2:10">
      <c r="B705" s="198"/>
      <c r="C705" s="199">
        <f>Dat_02!B704</f>
        <v>46145</v>
      </c>
      <c r="D705" s="198"/>
      <c r="E705" s="200">
        <f>Dat_02!C704</f>
        <v>80.241866380000587</v>
      </c>
      <c r="F705" s="200">
        <f>Dat_02!D704</f>
        <v>96.996337327600401</v>
      </c>
      <c r="G705" s="200">
        <f>Dat_02!E704</f>
        <v>80.241866380000587</v>
      </c>
      <c r="I705" s="201">
        <f>Dat_02!G704</f>
        <v>0</v>
      </c>
      <c r="J705" s="207"/>
    </row>
    <row r="706" spans="2:10">
      <c r="B706" s="198"/>
      <c r="C706" s="199">
        <f>Dat_02!B705</f>
        <v>46146</v>
      </c>
      <c r="D706" s="198"/>
      <c r="E706" s="200">
        <f>Dat_02!C705</f>
        <v>125.220437346995</v>
      </c>
      <c r="F706" s="200">
        <f>Dat_02!D705</f>
        <v>96.996337327600401</v>
      </c>
      <c r="G706" s="200">
        <f>Dat_02!E705</f>
        <v>96.996337327600401</v>
      </c>
      <c r="I706" s="201">
        <f>Dat_02!G705</f>
        <v>0</v>
      </c>
      <c r="J706" s="207"/>
    </row>
    <row r="707" spans="2:10">
      <c r="B707" s="198"/>
      <c r="C707" s="199">
        <f>Dat_02!B706</f>
        <v>46147</v>
      </c>
      <c r="D707" s="198"/>
      <c r="E707" s="200">
        <f>Dat_02!C706</f>
        <v>112.96538224199873</v>
      </c>
      <c r="F707" s="200">
        <f>Dat_02!D706</f>
        <v>96.996337327600401</v>
      </c>
      <c r="G707" s="200">
        <f>Dat_02!E706</f>
        <v>96.996337327600401</v>
      </c>
      <c r="I707" s="201">
        <f>Dat_02!G706</f>
        <v>0</v>
      </c>
      <c r="J707" s="207"/>
    </row>
    <row r="708" spans="2:10">
      <c r="B708" s="198"/>
      <c r="C708" s="199">
        <f>Dat_02!B707</f>
        <v>46148</v>
      </c>
      <c r="D708" s="198"/>
      <c r="E708" s="200">
        <f>Dat_02!C707</f>
        <v>107.49255053310618</v>
      </c>
      <c r="F708" s="200">
        <f>Dat_02!D707</f>
        <v>96.996337327600401</v>
      </c>
      <c r="G708" s="200">
        <f>Dat_02!E707</f>
        <v>96.996337327600401</v>
      </c>
      <c r="I708" s="201">
        <f>Dat_02!G707</f>
        <v>0</v>
      </c>
      <c r="J708" s="207"/>
    </row>
    <row r="709" spans="2:10">
      <c r="B709" s="198"/>
      <c r="C709" s="199">
        <f>Dat_02!B708</f>
        <v>46149</v>
      </c>
      <c r="D709" s="198"/>
      <c r="E709" s="200">
        <f>Dat_02!C708</f>
        <v>120.54221656210433</v>
      </c>
      <c r="F709" s="200">
        <f>Dat_02!D708</f>
        <v>96.996337327600401</v>
      </c>
      <c r="G709" s="200">
        <f>Dat_02!E708</f>
        <v>96.996337327600401</v>
      </c>
      <c r="I709" s="201">
        <f>Dat_02!G708</f>
        <v>0</v>
      </c>
      <c r="J709" s="207"/>
    </row>
    <row r="710" spans="2:10">
      <c r="B710" s="198"/>
      <c r="C710" s="199">
        <f>Dat_02!B709</f>
        <v>46150</v>
      </c>
      <c r="D710" s="198"/>
      <c r="E710" s="200">
        <f>Dat_02!C709</f>
        <v>106.39197663910433</v>
      </c>
      <c r="F710" s="200">
        <f>Dat_02!D709</f>
        <v>96.996337327600401</v>
      </c>
      <c r="G710" s="200">
        <f>Dat_02!E709</f>
        <v>96.996337327600401</v>
      </c>
      <c r="I710" s="201">
        <f>Dat_02!G709</f>
        <v>0</v>
      </c>
      <c r="J710" s="207"/>
    </row>
    <row r="711" spans="2:10">
      <c r="B711" s="198"/>
      <c r="C711" s="199">
        <f>Dat_02!B710</f>
        <v>46151</v>
      </c>
      <c r="D711" s="198"/>
      <c r="E711" s="200">
        <f>Dat_02!C710</f>
        <v>68.77696112110246</v>
      </c>
      <c r="F711" s="200">
        <f>Dat_02!D710</f>
        <v>96.996337327600401</v>
      </c>
      <c r="G711" s="200">
        <f>Dat_02!E710</f>
        <v>68.77696112110246</v>
      </c>
      <c r="I711" s="201">
        <f>Dat_02!G710</f>
        <v>0</v>
      </c>
      <c r="J711" s="207"/>
    </row>
    <row r="712" spans="2:10">
      <c r="B712" s="198"/>
      <c r="C712" s="199">
        <f>Dat_02!B711</f>
        <v>46152</v>
      </c>
      <c r="D712" s="198"/>
      <c r="E712" s="200">
        <f>Dat_02!C711</f>
        <v>60.648677384104317</v>
      </c>
      <c r="F712" s="200">
        <f>Dat_02!D711</f>
        <v>96.996337327600401</v>
      </c>
      <c r="G712" s="200">
        <f>Dat_02!E711</f>
        <v>60.648677384104317</v>
      </c>
      <c r="I712" s="201">
        <f>Dat_02!G711</f>
        <v>0</v>
      </c>
      <c r="J712" s="207"/>
    </row>
    <row r="713" spans="2:10">
      <c r="B713" s="198"/>
      <c r="C713" s="199">
        <f>Dat_02!B712</f>
        <v>46153</v>
      </c>
      <c r="D713" s="198"/>
      <c r="E713" s="200">
        <f>Dat_02!C712</f>
        <v>92.308440412106179</v>
      </c>
      <c r="F713" s="200">
        <f>Dat_02!D712</f>
        <v>96.996337327600401</v>
      </c>
      <c r="G713" s="200">
        <f>Dat_02!E712</f>
        <v>92.308440412106179</v>
      </c>
      <c r="I713" s="201">
        <f>Dat_02!G712</f>
        <v>0</v>
      </c>
      <c r="J713" s="207"/>
    </row>
    <row r="714" spans="2:10">
      <c r="B714" s="198"/>
      <c r="C714" s="199">
        <f>Dat_02!B713</f>
        <v>46154</v>
      </c>
      <c r="D714" s="198"/>
      <c r="E714" s="200">
        <f>Dat_02!C713</f>
        <v>109.53282341110246</v>
      </c>
      <c r="F714" s="200">
        <f>Dat_02!D713</f>
        <v>96.996337327600401</v>
      </c>
      <c r="G714" s="200">
        <f>Dat_02!E713</f>
        <v>96.996337327600401</v>
      </c>
      <c r="I714" s="201">
        <f>Dat_02!G713</f>
        <v>0</v>
      </c>
      <c r="J714" s="207"/>
    </row>
    <row r="715" spans="2:10">
      <c r="B715" s="198"/>
      <c r="C715" s="199">
        <f>Dat_02!B714</f>
        <v>46155</v>
      </c>
      <c r="D715" s="198"/>
      <c r="E715" s="200">
        <f>Dat_02!C714</f>
        <v>93.467609295974626</v>
      </c>
      <c r="F715" s="200">
        <f>Dat_02!D714</f>
        <v>96.996337327600401</v>
      </c>
      <c r="G715" s="200">
        <f>Dat_02!E714</f>
        <v>93.467609295974626</v>
      </c>
      <c r="I715" s="201">
        <f>Dat_02!G714</f>
        <v>0</v>
      </c>
      <c r="J715" s="207"/>
    </row>
    <row r="716" spans="2:10">
      <c r="B716" s="198"/>
      <c r="C716" s="199">
        <f>Dat_02!B715</f>
        <v>46156</v>
      </c>
      <c r="D716" s="198"/>
      <c r="E716" s="200">
        <f>Dat_02!C715</f>
        <v>89.567963126978356</v>
      </c>
      <c r="F716" s="200">
        <f>Dat_02!D715</f>
        <v>96.996337327600401</v>
      </c>
      <c r="G716" s="200">
        <f>Dat_02!E715</f>
        <v>89.567963126978356</v>
      </c>
      <c r="I716" s="201">
        <f>Dat_02!G715</f>
        <v>0</v>
      </c>
      <c r="J716" s="207"/>
    </row>
    <row r="717" spans="2:10">
      <c r="B717" s="198"/>
      <c r="C717" s="199">
        <f>Dat_02!B716</f>
        <v>46157</v>
      </c>
      <c r="D717" s="198"/>
      <c r="E717" s="200">
        <f>Dat_02!C716</f>
        <v>84.343720663974622</v>
      </c>
      <c r="F717" s="200">
        <f>Dat_02!D716</f>
        <v>96.996337327600401</v>
      </c>
      <c r="G717" s="200">
        <f>Dat_02!E716</f>
        <v>84.343720663974622</v>
      </c>
      <c r="I717" s="201">
        <f>Dat_02!G716</f>
        <v>0</v>
      </c>
      <c r="J717" s="207"/>
    </row>
    <row r="718" spans="2:10">
      <c r="B718" s="198"/>
      <c r="C718" s="199">
        <f>Dat_02!B717</f>
        <v>46158</v>
      </c>
      <c r="D718" s="198"/>
      <c r="E718" s="200">
        <f>Dat_02!C717</f>
        <v>92.415462039976504</v>
      </c>
      <c r="F718" s="200">
        <f>Dat_02!D717</f>
        <v>96.996337327600401</v>
      </c>
      <c r="G718" s="200">
        <f>Dat_02!E717</f>
        <v>92.415462039976504</v>
      </c>
      <c r="I718" s="201" t="str">
        <f>Dat_02!G717</f>
        <v/>
      </c>
      <c r="J718" s="207"/>
    </row>
    <row r="719" spans="2:10">
      <c r="B719" s="198"/>
      <c r="C719" s="199">
        <f>Dat_02!B718</f>
        <v>46159</v>
      </c>
      <c r="D719" s="198"/>
      <c r="E719" s="200">
        <f>Dat_02!C718</f>
        <v>92.76668698797836</v>
      </c>
      <c r="F719" s="200">
        <f>Dat_02!D718</f>
        <v>96.996337327600401</v>
      </c>
      <c r="G719" s="200">
        <f>Dat_02!E718</f>
        <v>92.76668698797836</v>
      </c>
      <c r="I719" s="201">
        <f>Dat_02!G718</f>
        <v>0</v>
      </c>
      <c r="J719" s="207"/>
    </row>
    <row r="720" spans="2:10">
      <c r="B720" s="198"/>
      <c r="C720" s="199">
        <f>Dat_02!B719</f>
        <v>46160</v>
      </c>
      <c r="D720" s="198"/>
      <c r="E720" s="200">
        <f>Dat_02!C719</f>
        <v>107.85507385397651</v>
      </c>
      <c r="F720" s="200">
        <f>Dat_02!D719</f>
        <v>96.996337327600401</v>
      </c>
      <c r="G720" s="200">
        <f>Dat_02!E719</f>
        <v>96.996337327600401</v>
      </c>
      <c r="I720" s="201">
        <f>Dat_02!G719</f>
        <v>0</v>
      </c>
      <c r="J720" s="207"/>
    </row>
    <row r="721" spans="2:10">
      <c r="B721" s="198"/>
      <c r="C721" s="199">
        <f>Dat_02!B720</f>
        <v>46161</v>
      </c>
      <c r="D721" s="198"/>
      <c r="E721" s="200">
        <f>Dat_02!C720</f>
        <v>100.10663924597463</v>
      </c>
      <c r="F721" s="200">
        <f>Dat_02!D720</f>
        <v>96.996337327600401</v>
      </c>
      <c r="G721" s="200">
        <f>Dat_02!E720</f>
        <v>96.996337327600401</v>
      </c>
      <c r="I721" s="201">
        <f>Dat_02!G720</f>
        <v>0</v>
      </c>
      <c r="J721" s="207"/>
    </row>
    <row r="722" spans="2:10">
      <c r="B722" s="198"/>
      <c r="C722" s="199">
        <f>Dat_02!B721</f>
        <v>46162</v>
      </c>
      <c r="D722" s="198"/>
      <c r="E722" s="200">
        <f>Dat_02!C721</f>
        <v>94.574809138787984</v>
      </c>
      <c r="F722" s="200">
        <f>Dat_02!D721</f>
        <v>96.996337327600401</v>
      </c>
      <c r="G722" s="200">
        <f>Dat_02!E721</f>
        <v>94.574809138787984</v>
      </c>
      <c r="I722" s="201">
        <f>Dat_02!G721</f>
        <v>0</v>
      </c>
      <c r="J722" s="207"/>
    </row>
    <row r="723" spans="2:10">
      <c r="B723" s="198"/>
      <c r="C723" s="199">
        <f>Dat_02!B722</f>
        <v>46163</v>
      </c>
      <c r="D723" s="198"/>
      <c r="E723" s="200">
        <f>Dat_02!C722</f>
        <v>88.454457855787993</v>
      </c>
      <c r="F723" s="200">
        <f>Dat_02!D722</f>
        <v>96.996337327600401</v>
      </c>
      <c r="G723" s="200">
        <f>Dat_02!E722</f>
        <v>88.454457855787993</v>
      </c>
      <c r="I723" s="201">
        <f>Dat_02!G722</f>
        <v>0</v>
      </c>
      <c r="J723" s="207"/>
    </row>
    <row r="724" spans="2:10">
      <c r="B724" s="198"/>
      <c r="C724" s="199">
        <f>Dat_02!B723</f>
        <v>46164</v>
      </c>
      <c r="D724" s="198"/>
      <c r="E724" s="200">
        <f>Dat_02!C723</f>
        <v>91.71057150578612</v>
      </c>
      <c r="F724" s="200">
        <f>Dat_02!D723</f>
        <v>96.996337327600401</v>
      </c>
      <c r="G724" s="200">
        <f>Dat_02!E723</f>
        <v>91.71057150578612</v>
      </c>
      <c r="I724" s="201">
        <f>Dat_02!G723</f>
        <v>0</v>
      </c>
      <c r="J724" s="207"/>
    </row>
    <row r="725" spans="2:10">
      <c r="B725" s="198"/>
      <c r="C725" s="199">
        <f>Dat_02!B724</f>
        <v>46165</v>
      </c>
      <c r="D725" s="198"/>
      <c r="E725" s="200">
        <f>Dat_02!C724</f>
        <v>73.604161994787987</v>
      </c>
      <c r="F725" s="200">
        <f>Dat_02!D724</f>
        <v>96.996337327600401</v>
      </c>
      <c r="G725" s="200">
        <f>Dat_02!E724</f>
        <v>73.604161994787987</v>
      </c>
      <c r="I725" s="201">
        <f>Dat_02!G724</f>
        <v>0</v>
      </c>
      <c r="J725" s="207"/>
    </row>
    <row r="726" spans="2:10">
      <c r="B726" s="198"/>
      <c r="C726" s="199">
        <f>Dat_02!B725</f>
        <v>46166</v>
      </c>
      <c r="D726" s="198"/>
      <c r="E726" s="200">
        <f>Dat_02!C725</f>
        <v>56.305882014786128</v>
      </c>
      <c r="F726" s="200">
        <f>Dat_02!D725</f>
        <v>96.996337327600401</v>
      </c>
      <c r="G726" s="200">
        <f>Dat_02!E725</f>
        <v>56.305882014786128</v>
      </c>
      <c r="I726" s="201">
        <f>Dat_02!G725</f>
        <v>0</v>
      </c>
      <c r="J726" s="207"/>
    </row>
    <row r="727" spans="2:10">
      <c r="B727" s="198"/>
      <c r="C727" s="199">
        <f>Dat_02!B726</f>
        <v>46167</v>
      </c>
      <c r="D727" s="198"/>
      <c r="E727" s="200">
        <f>Dat_02!C726</f>
        <v>70.335712183787976</v>
      </c>
      <c r="F727" s="200">
        <f>Dat_02!D726</f>
        <v>96.996337327600401</v>
      </c>
      <c r="G727" s="200">
        <f>Dat_02!E726</f>
        <v>70.335712183787976</v>
      </c>
      <c r="I727" s="201">
        <f>Dat_02!G726</f>
        <v>0</v>
      </c>
      <c r="J727" s="207"/>
    </row>
    <row r="728" spans="2:10">
      <c r="B728" s="198"/>
      <c r="C728" s="199">
        <f>Dat_02!B727</f>
        <v>46168</v>
      </c>
      <c r="D728" s="198"/>
      <c r="E728" s="200">
        <f>Dat_02!C727</f>
        <v>88.420787201786126</v>
      </c>
      <c r="F728" s="200">
        <f>Dat_02!D727</f>
        <v>96.996337327600401</v>
      </c>
      <c r="G728" s="200">
        <f>Dat_02!E727</f>
        <v>88.420787201786126</v>
      </c>
      <c r="I728" s="201">
        <f>Dat_02!G727</f>
        <v>0</v>
      </c>
      <c r="J728" s="207"/>
    </row>
    <row r="729" spans="2:10">
      <c r="B729" s="198"/>
      <c r="C729" s="199">
        <f>Dat_02!B728</f>
        <v>46169</v>
      </c>
      <c r="D729" s="198"/>
      <c r="E729" s="200">
        <f>Dat_02!C728</f>
        <v>61.802897712191637</v>
      </c>
      <c r="F729" s="200">
        <f>Dat_02!D728</f>
        <v>96.996337327600401</v>
      </c>
      <c r="G729" s="200">
        <f>Dat_02!E728</f>
        <v>61.802897712191637</v>
      </c>
      <c r="I729" s="201">
        <f>Dat_02!G728</f>
        <v>0</v>
      </c>
      <c r="J729" s="207"/>
    </row>
    <row r="730" spans="2:10">
      <c r="B730" s="198"/>
      <c r="C730" s="199">
        <f>Dat_02!B729</f>
        <v>46170</v>
      </c>
      <c r="D730" s="198"/>
      <c r="E730" s="200">
        <f>Dat_02!C729</f>
        <v>60.744908920193495</v>
      </c>
      <c r="F730" s="200">
        <f>Dat_02!D729</f>
        <v>96.996337327600401</v>
      </c>
      <c r="G730" s="200">
        <f>Dat_02!E729</f>
        <v>60.744908920193495</v>
      </c>
      <c r="I730" s="201">
        <f>Dat_02!G729</f>
        <v>0</v>
      </c>
      <c r="J730" s="207"/>
    </row>
    <row r="731" spans="2:10">
      <c r="B731" s="198"/>
      <c r="C731" s="199">
        <f>Dat_02!B730</f>
        <v>46171</v>
      </c>
      <c r="D731" s="198"/>
      <c r="E731" s="200">
        <f>Dat_02!C730</f>
        <v>74.396140904189778</v>
      </c>
      <c r="F731" s="200">
        <f>Dat_02!D730</f>
        <v>96.996337327600401</v>
      </c>
      <c r="G731" s="200">
        <f>Dat_02!E730</f>
        <v>74.396140904189778</v>
      </c>
      <c r="I731" s="201">
        <f>Dat_02!G730</f>
        <v>0</v>
      </c>
      <c r="J731" s="207"/>
    </row>
    <row r="732" spans="2:10">
      <c r="B732" s="198"/>
      <c r="C732" s="199">
        <f>Dat_02!B731</f>
        <v>46172</v>
      </c>
      <c r="D732" s="198"/>
      <c r="E732" s="200">
        <f>Dat_02!C731</f>
        <v>52.28320616819164</v>
      </c>
      <c r="F732" s="200">
        <f>Dat_02!D731</f>
        <v>96.996337327600401</v>
      </c>
      <c r="G732" s="200">
        <f>Dat_02!E731</f>
        <v>52.28320616819164</v>
      </c>
      <c r="I732" s="201">
        <f>Dat_02!G731</f>
        <v>0</v>
      </c>
      <c r="J732" s="207"/>
    </row>
    <row r="733" spans="2:10">
      <c r="B733" s="198"/>
      <c r="C733" s="199">
        <f>Dat_02!B732</f>
        <v>46173</v>
      </c>
      <c r="D733" s="198"/>
      <c r="E733" s="200">
        <f>Dat_02!C732</f>
        <v>27.053107012193504</v>
      </c>
      <c r="F733" s="200">
        <f>Dat_02!D732</f>
        <v>96.996337327600401</v>
      </c>
      <c r="G733" s="200">
        <f>Dat_02!E732</f>
        <v>27.053107012193504</v>
      </c>
      <c r="I733" s="201">
        <f>Dat_02!G732</f>
        <v>0</v>
      </c>
      <c r="J733" s="207"/>
    </row>
    <row r="734" spans="2:10">
      <c r="B734" s="198"/>
      <c r="C734" s="199">
        <f>Dat_02!B733</f>
        <v>46174</v>
      </c>
      <c r="D734" s="198"/>
      <c r="E734" s="200">
        <f>Dat_02!C733</f>
        <v>47.068135448191633</v>
      </c>
      <c r="F734" s="200">
        <f>Dat_02!D733</f>
        <v>62.073163406333713</v>
      </c>
      <c r="G734" s="200">
        <f>Dat_02!E733</f>
        <v>47.068135448191633</v>
      </c>
      <c r="I734" s="201">
        <f>Dat_02!G733</f>
        <v>0</v>
      </c>
      <c r="J734" s="207"/>
    </row>
    <row r="735" spans="2:10">
      <c r="B735" s="198"/>
      <c r="C735" s="199">
        <f>Dat_02!B734</f>
        <v>46175</v>
      </c>
      <c r="D735" s="198"/>
      <c r="E735" s="200">
        <f>Dat_02!C734</f>
        <v>42.573148472195363</v>
      </c>
      <c r="F735" s="200">
        <f>Dat_02!D734</f>
        <v>62.073163406333713</v>
      </c>
      <c r="G735" s="200">
        <f>Dat_02!E734</f>
        <v>42.573148472195363</v>
      </c>
      <c r="I735" s="201">
        <f>Dat_02!G734</f>
        <v>0</v>
      </c>
      <c r="J735" s="207"/>
    </row>
    <row r="736" spans="2:10">
      <c r="B736" s="198"/>
      <c r="C736" s="199">
        <f>Dat_02!B735</f>
        <v>46176</v>
      </c>
      <c r="D736" s="198"/>
      <c r="E736" s="200">
        <f>Dat_02!C735</f>
        <v>50.379102327468779</v>
      </c>
      <c r="F736" s="200">
        <f>Dat_02!D735</f>
        <v>62.073163406333713</v>
      </c>
      <c r="G736" s="200">
        <f>Dat_02!E735</f>
        <v>50.379102327468779</v>
      </c>
      <c r="I736" s="201">
        <f>Dat_02!G735</f>
        <v>0</v>
      </c>
      <c r="J736" s="207"/>
    </row>
    <row r="737" spans="2:10">
      <c r="B737" s="198"/>
      <c r="C737" s="199">
        <f>Dat_02!B736</f>
        <v>46177</v>
      </c>
      <c r="D737" s="198"/>
      <c r="E737" s="200">
        <f>Dat_02!C736</f>
        <v>43.434186287470645</v>
      </c>
      <c r="F737" s="200">
        <f>Dat_02!D736</f>
        <v>62.073163406333713</v>
      </c>
      <c r="G737" s="200">
        <f>Dat_02!E736</f>
        <v>43.434186287470645</v>
      </c>
      <c r="I737" s="201">
        <f>Dat_02!G736</f>
        <v>0</v>
      </c>
      <c r="J737" s="207"/>
    </row>
    <row r="738" spans="2:10">
      <c r="B738" s="198"/>
      <c r="C738" s="199">
        <f>Dat_02!B737</f>
        <v>46178</v>
      </c>
      <c r="D738" s="198"/>
      <c r="E738" s="200">
        <f>Dat_02!C737</f>
        <v>47.216500133468784</v>
      </c>
      <c r="F738" s="200">
        <f>Dat_02!D737</f>
        <v>62.073163406333713</v>
      </c>
      <c r="G738" s="200">
        <f>Dat_02!E737</f>
        <v>47.216500133468784</v>
      </c>
      <c r="I738" s="201">
        <f>Dat_02!G737</f>
        <v>0</v>
      </c>
      <c r="J738" s="207"/>
    </row>
    <row r="739" spans="2:10">
      <c r="B739" s="198"/>
      <c r="C739" s="199">
        <f>Dat_02!B738</f>
        <v>46179</v>
      </c>
      <c r="D739" s="198"/>
      <c r="E739" s="200">
        <f>Dat_02!C738</f>
        <v>47.459840479468781</v>
      </c>
      <c r="F739" s="200">
        <f>Dat_02!D738</f>
        <v>62.073163406333713</v>
      </c>
      <c r="G739" s="200">
        <f>Dat_02!E738</f>
        <v>47.459840479468781</v>
      </c>
      <c r="I739" s="201">
        <f>Dat_02!G738</f>
        <v>0</v>
      </c>
      <c r="J739" s="207"/>
    </row>
    <row r="740" spans="2:10">
      <c r="B740" s="198"/>
      <c r="C740" s="199">
        <f>Dat_02!B739</f>
        <v>46180</v>
      </c>
      <c r="D740" s="198"/>
      <c r="E740" s="200">
        <f>Dat_02!C739</f>
        <v>33.044922431470646</v>
      </c>
      <c r="F740" s="200">
        <f>Dat_02!D739</f>
        <v>62.073163406333713</v>
      </c>
      <c r="G740" s="200">
        <f>Dat_02!E739</f>
        <v>33.044922431470646</v>
      </c>
      <c r="I740" s="201">
        <f>Dat_02!G739</f>
        <v>0</v>
      </c>
      <c r="J740" s="207"/>
    </row>
    <row r="741" spans="2:10">
      <c r="B741" s="198"/>
      <c r="C741" s="199">
        <f>Dat_02!B740</f>
        <v>46181</v>
      </c>
      <c r="D741" s="198"/>
      <c r="E741" s="200">
        <f>Dat_02!C740</f>
        <v>44.453724247468784</v>
      </c>
      <c r="F741" s="200">
        <f>Dat_02!D740</f>
        <v>62.073163406333713</v>
      </c>
      <c r="G741" s="200">
        <f>Dat_02!E740</f>
        <v>44.453724247468784</v>
      </c>
      <c r="I741" s="201">
        <f>Dat_02!G740</f>
        <v>0</v>
      </c>
      <c r="J741" s="207"/>
    </row>
    <row r="742" spans="2:10">
      <c r="B742" s="198"/>
      <c r="C742" s="199">
        <f>Dat_02!B741</f>
        <v>46182</v>
      </c>
      <c r="D742" s="198"/>
      <c r="E742" s="200">
        <f>Dat_02!C741</f>
        <v>34.078163039472507</v>
      </c>
      <c r="F742" s="200">
        <f>Dat_02!D741</f>
        <v>62.073163406333713</v>
      </c>
      <c r="G742" s="200">
        <f>Dat_02!E741</f>
        <v>34.078163039472507</v>
      </c>
      <c r="I742" s="201">
        <f>Dat_02!G741</f>
        <v>0</v>
      </c>
      <c r="J742" s="207"/>
    </row>
    <row r="743" spans="2:10">
      <c r="B743" s="198"/>
      <c r="C743" s="199">
        <f>Dat_02!B742</f>
        <v>46183</v>
      </c>
      <c r="D743" s="198"/>
      <c r="E743" s="200">
        <f>Dat_02!C742</f>
        <v>30.747152508585394</v>
      </c>
      <c r="F743" s="200">
        <f>Dat_02!D742</f>
        <v>62.073163406333713</v>
      </c>
      <c r="G743" s="200">
        <f>Dat_02!E742</f>
        <v>30.747152508585394</v>
      </c>
      <c r="I743" s="201">
        <f>Dat_02!G742</f>
        <v>0</v>
      </c>
      <c r="J743" s="207"/>
    </row>
    <row r="744" spans="2:10">
      <c r="B744" s="198"/>
      <c r="C744" s="199">
        <f>Dat_02!B743</f>
        <v>46184</v>
      </c>
      <c r="D744" s="198"/>
      <c r="E744" s="200">
        <f>Dat_02!C743</f>
        <v>30.556959344583536</v>
      </c>
      <c r="F744" s="200">
        <f>Dat_02!D743</f>
        <v>62.073163406333713</v>
      </c>
      <c r="G744" s="200">
        <f>Dat_02!E743</f>
        <v>30.556959344583536</v>
      </c>
      <c r="I744" s="201">
        <f>Dat_02!G743</f>
        <v>0</v>
      </c>
      <c r="J744" s="207"/>
    </row>
    <row r="745" spans="2:10">
      <c r="B745" s="198"/>
      <c r="C745" s="199">
        <f>Dat_02!B744</f>
        <v>46185</v>
      </c>
      <c r="D745" s="198"/>
      <c r="E745" s="200">
        <f>Dat_02!C744</f>
        <v>30.195372312585395</v>
      </c>
      <c r="F745" s="200">
        <f>Dat_02!D744</f>
        <v>62.073163406333713</v>
      </c>
      <c r="G745" s="200">
        <f>Dat_02!E744</f>
        <v>30.195372312585395</v>
      </c>
      <c r="I745" s="201">
        <f>Dat_02!G744</f>
        <v>0</v>
      </c>
      <c r="J745" s="207"/>
    </row>
    <row r="746" spans="2:10">
      <c r="B746" s="198"/>
      <c r="C746" s="199">
        <f>Dat_02!B745</f>
        <v>46186</v>
      </c>
      <c r="D746" s="198"/>
      <c r="E746" s="200">
        <f>Dat_02!C745</f>
        <v>34.563535425583531</v>
      </c>
      <c r="F746" s="200">
        <f>Dat_02!D745</f>
        <v>62.073163406333713</v>
      </c>
      <c r="G746" s="200">
        <f>Dat_02!E745</f>
        <v>34.563535425583531</v>
      </c>
      <c r="I746" s="201">
        <f>Dat_02!G745</f>
        <v>0</v>
      </c>
      <c r="J746" s="207"/>
    </row>
    <row r="747" spans="2:10">
      <c r="B747" s="198"/>
      <c r="C747" s="199">
        <f>Dat_02!B746</f>
        <v>46187</v>
      </c>
      <c r="D747" s="198"/>
      <c r="E747" s="200">
        <f>Dat_02!C746</f>
        <v>35.77137464758539</v>
      </c>
      <c r="F747" s="200">
        <f>Dat_02!D746</f>
        <v>62.073163406333713</v>
      </c>
      <c r="G747" s="200">
        <f>Dat_02!E746</f>
        <v>35.77137464758539</v>
      </c>
      <c r="I747" s="201">
        <f>Dat_02!G746</f>
        <v>0</v>
      </c>
      <c r="J747" s="207"/>
    </row>
    <row r="748" spans="2:10">
      <c r="B748" s="198"/>
      <c r="C748" s="199">
        <f>Dat_02!B747</f>
        <v>46188</v>
      </c>
      <c r="D748" s="198"/>
      <c r="E748" s="200">
        <f>Dat_02!C747</f>
        <v>61.105004408583525</v>
      </c>
      <c r="F748" s="200">
        <f>Dat_02!D747</f>
        <v>62.073163406333713</v>
      </c>
      <c r="G748" s="200">
        <f>Dat_02!E747</f>
        <v>61.105004408583525</v>
      </c>
      <c r="I748" s="201">
        <f>Dat_02!G747</f>
        <v>0</v>
      </c>
      <c r="J748" s="207"/>
    </row>
    <row r="749" spans="2:10">
      <c r="B749" s="198"/>
      <c r="C749" s="199">
        <f>Dat_02!B748</f>
        <v>46189</v>
      </c>
      <c r="D749" s="198"/>
      <c r="E749" s="200">
        <f>Dat_02!C748</f>
        <v>68.351302360587255</v>
      </c>
      <c r="F749" s="200">
        <f>Dat_02!D748</f>
        <v>62.073163406333713</v>
      </c>
      <c r="G749" s="200">
        <f>Dat_02!E748</f>
        <v>62.073163406333713</v>
      </c>
      <c r="I749" s="201" t="str">
        <f>Dat_02!G748</f>
        <v/>
      </c>
      <c r="J749" s="207"/>
    </row>
    <row r="750" spans="2:10">
      <c r="B750" s="198"/>
      <c r="C750" s="199">
        <f>Dat_02!B749</f>
        <v>46190</v>
      </c>
      <c r="D750" s="198"/>
      <c r="E750" s="200">
        <f>Dat_02!C749</f>
        <v>40.407698469990194</v>
      </c>
      <c r="F750" s="200">
        <f>Dat_02!D749</f>
        <v>62.073163406333713</v>
      </c>
      <c r="G750" s="200">
        <f>Dat_02!E749</f>
        <v>40.407698469990194</v>
      </c>
      <c r="I750" s="201">
        <f>Dat_02!G749</f>
        <v>0</v>
      </c>
      <c r="J750" s="207"/>
    </row>
    <row r="751" spans="2:10">
      <c r="B751" s="198"/>
      <c r="C751" s="199">
        <f>Dat_02!B750</f>
        <v>46191</v>
      </c>
      <c r="D751" s="198"/>
      <c r="E751" s="200">
        <f>Dat_02!C750</f>
        <v>30.290892797992054</v>
      </c>
      <c r="F751" s="200">
        <f>Dat_02!D750</f>
        <v>62.073163406333713</v>
      </c>
      <c r="G751" s="200">
        <f>Dat_02!E750</f>
        <v>30.290892797992054</v>
      </c>
      <c r="I751" s="201">
        <f>Dat_02!G750</f>
        <v>0</v>
      </c>
      <c r="J751" s="207"/>
    </row>
    <row r="752" spans="2:10">
      <c r="B752" s="198"/>
      <c r="C752" s="199">
        <f>Dat_02!B751</f>
        <v>46192</v>
      </c>
      <c r="D752" s="198"/>
      <c r="E752" s="200">
        <f>Dat_02!C751</f>
        <v>35.566409522995777</v>
      </c>
      <c r="F752" s="200">
        <f>Dat_02!D751</f>
        <v>62.073163406333713</v>
      </c>
      <c r="G752" s="200">
        <f>Dat_02!E751</f>
        <v>35.566409522995777</v>
      </c>
      <c r="I752" s="201">
        <f>Dat_02!G751</f>
        <v>0</v>
      </c>
      <c r="J752" s="207"/>
    </row>
    <row r="753" spans="2:10">
      <c r="B753" s="198"/>
      <c r="C753" s="199">
        <f>Dat_02!B752</f>
        <v>46193</v>
      </c>
      <c r="D753" s="198"/>
      <c r="E753" s="200">
        <f>Dat_02!C752</f>
        <v>12.367928405992053</v>
      </c>
      <c r="F753" s="200">
        <f>Dat_02!D752</f>
        <v>62.073163406333713</v>
      </c>
      <c r="G753" s="200">
        <f>Dat_02!E752</f>
        <v>12.367928405992053</v>
      </c>
      <c r="I753" s="201">
        <f>Dat_02!G752</f>
        <v>0</v>
      </c>
      <c r="J753" s="207"/>
    </row>
    <row r="754" spans="2:10">
      <c r="B754" s="198"/>
      <c r="C754" s="199">
        <f>Dat_02!B753</f>
        <v>46194</v>
      </c>
      <c r="D754" s="198"/>
      <c r="E754" s="200">
        <f>Dat_02!C753</f>
        <v>6.4833669819920541</v>
      </c>
      <c r="F754" s="200">
        <f>Dat_02!D753</f>
        <v>62.073163406333713</v>
      </c>
      <c r="G754" s="200">
        <f>Dat_02!E753</f>
        <v>6.4833669819920541</v>
      </c>
      <c r="I754" s="201">
        <f>Dat_02!G753</f>
        <v>0</v>
      </c>
      <c r="J754" s="207"/>
    </row>
    <row r="755" spans="2:10">
      <c r="B755" s="198"/>
      <c r="C755" s="199">
        <f>Dat_02!B754</f>
        <v>46195</v>
      </c>
      <c r="D755" s="198"/>
      <c r="E755" s="200">
        <f>Dat_02!C754</f>
        <v>37.619524392993917</v>
      </c>
      <c r="F755" s="200">
        <f>Dat_02!D754</f>
        <v>62.073163406333713</v>
      </c>
      <c r="G755" s="200">
        <f>Dat_02!E754</f>
        <v>37.619524392993917</v>
      </c>
      <c r="I755" s="201">
        <f>Dat_02!G754</f>
        <v>0</v>
      </c>
      <c r="J755" s="207"/>
    </row>
    <row r="756" spans="2:10">
      <c r="B756" s="198"/>
      <c r="C756" s="199">
        <f>Dat_02!B755</f>
        <v>46196</v>
      </c>
      <c r="D756" s="198"/>
      <c r="E756" s="200">
        <f>Dat_02!C755</f>
        <v>53.082636909993916</v>
      </c>
      <c r="F756" s="200">
        <f>Dat_02!D755</f>
        <v>62.073163406333713</v>
      </c>
      <c r="G756" s="200">
        <f>Dat_02!E755</f>
        <v>53.082636909993916</v>
      </c>
      <c r="I756" s="201">
        <f>Dat_02!G755</f>
        <v>0</v>
      </c>
      <c r="J756" s="207"/>
    </row>
    <row r="757" spans="2:10">
      <c r="B757" s="198"/>
      <c r="C757" s="199">
        <f>Dat_02!B756</f>
        <v>46197</v>
      </c>
      <c r="D757" s="198"/>
      <c r="E757" s="200">
        <f>Dat_02!C756</f>
        <v>29.837647560541054</v>
      </c>
      <c r="F757" s="200">
        <f>Dat_02!D756</f>
        <v>62.073163406333713</v>
      </c>
      <c r="G757" s="200">
        <f>Dat_02!E756</f>
        <v>29.837647560541054</v>
      </c>
      <c r="I757" s="201">
        <f>Dat_02!G756</f>
        <v>0</v>
      </c>
      <c r="J757" s="207"/>
    </row>
    <row r="758" spans="2:10">
      <c r="B758" s="198"/>
      <c r="C758" s="199">
        <f>Dat_02!B757</f>
        <v>46198</v>
      </c>
      <c r="D758" s="198"/>
      <c r="E758" s="200">
        <f>Dat_02!C757</f>
        <v>17.098436928539186</v>
      </c>
      <c r="F758" s="200">
        <f>Dat_02!D757</f>
        <v>62.073163406333713</v>
      </c>
      <c r="G758" s="200">
        <f>Dat_02!E757</f>
        <v>17.098436928539186</v>
      </c>
      <c r="I758" s="201">
        <f>Dat_02!G757</f>
        <v>0</v>
      </c>
      <c r="J758" s="207"/>
    </row>
    <row r="759" spans="2:10">
      <c r="B759" s="198"/>
      <c r="C759" s="199">
        <f>Dat_02!B758</f>
        <v>46199</v>
      </c>
      <c r="D759" s="198"/>
      <c r="E759" s="200">
        <f>Dat_02!C758</f>
        <v>11.56675413354105</v>
      </c>
      <c r="F759" s="200">
        <f>Dat_02!D758</f>
        <v>62.073163406333713</v>
      </c>
      <c r="G759" s="200">
        <f>Dat_02!E758</f>
        <v>11.56675413354105</v>
      </c>
      <c r="I759" s="201">
        <f>Dat_02!G758</f>
        <v>0</v>
      </c>
      <c r="J759" s="207"/>
    </row>
    <row r="760" spans="2:10">
      <c r="B760" s="198"/>
      <c r="C760" s="199">
        <f>Dat_02!B759</f>
        <v>46200</v>
      </c>
      <c r="D760" s="198"/>
      <c r="E760" s="200">
        <f>Dat_02!C759</f>
        <v>8.9710408995429169</v>
      </c>
      <c r="F760" s="200">
        <f>Dat_02!D759</f>
        <v>62.073163406333713</v>
      </c>
      <c r="G760" s="200">
        <f>Dat_02!E759</f>
        <v>8.9710408995429169</v>
      </c>
      <c r="I760" s="201">
        <f>Dat_02!G759</f>
        <v>0</v>
      </c>
      <c r="J760" s="207"/>
    </row>
    <row r="761" spans="2:10">
      <c r="B761" s="198"/>
      <c r="C761" s="199">
        <f>Dat_02!B760</f>
        <v>46201</v>
      </c>
      <c r="D761" s="198"/>
      <c r="E761" s="200">
        <f>Dat_02!C760</f>
        <v>3.9053097725391925</v>
      </c>
      <c r="F761" s="200">
        <f>Dat_02!D760</f>
        <v>62.073163406333713</v>
      </c>
      <c r="G761" s="200">
        <f>Dat_02!E760</f>
        <v>3.9053097725391925</v>
      </c>
      <c r="I761" s="201">
        <f>Dat_02!G760</f>
        <v>0</v>
      </c>
      <c r="J761" s="207"/>
    </row>
    <row r="762" spans="2:10">
      <c r="B762" s="198"/>
      <c r="C762" s="199">
        <f>Dat_02!B761</f>
        <v>46202</v>
      </c>
      <c r="D762" s="198"/>
      <c r="E762" s="200">
        <f>Dat_02!C761</f>
        <v>4.3066469645391914</v>
      </c>
      <c r="F762" s="200">
        <f>Dat_02!D761</f>
        <v>62.073163406333713</v>
      </c>
      <c r="G762" s="200">
        <f>Dat_02!E761</f>
        <v>4.3066469645391914</v>
      </c>
      <c r="I762" s="201">
        <f>Dat_02!G761</f>
        <v>0</v>
      </c>
      <c r="J762" s="207"/>
    </row>
    <row r="763" spans="2:10">
      <c r="B763" s="198"/>
      <c r="C763" s="199">
        <f>Dat_02!B762</f>
        <v>46203</v>
      </c>
      <c r="D763" s="198"/>
      <c r="E763" s="200">
        <f>Dat_02!C762</f>
        <v>20.873341964539183</v>
      </c>
      <c r="F763" s="200">
        <f>Dat_02!D762</f>
        <v>62.073163406333713</v>
      </c>
      <c r="G763" s="200">
        <f>Dat_02!E762</f>
        <v>20.873341964539183</v>
      </c>
      <c r="I763" s="201">
        <f>Dat_02!G762</f>
        <v>0</v>
      </c>
      <c r="J763" s="207" t="str">
        <f>IF(Dat_02!H398=0,"",Dat_02!H398)</f>
        <v/>
      </c>
    </row>
    <row r="764" spans="2:10">
      <c r="B764" s="203"/>
      <c r="C764" s="204"/>
      <c r="D764" s="205"/>
      <c r="E764" s="205"/>
      <c r="F764" s="205"/>
      <c r="G764" s="205"/>
      <c r="I764" s="257"/>
      <c r="J764" s="147"/>
    </row>
    <row r="765" spans="2:10">
      <c r="B765" s="147"/>
      <c r="C765" s="147"/>
      <c r="D765" s="147"/>
      <c r="E765" s="206"/>
      <c r="F765" s="206"/>
      <c r="G765" s="152"/>
      <c r="H765" s="147"/>
      <c r="I765" s="202"/>
      <c r="J765" s="147"/>
    </row>
    <row r="766" spans="2:10">
      <c r="B766" s="147"/>
      <c r="C766" s="147"/>
      <c r="D766" s="147"/>
      <c r="E766" s="206"/>
      <c r="F766" s="206"/>
      <c r="G766" s="152"/>
      <c r="H766" s="147"/>
      <c r="I766" s="202"/>
      <c r="J766" s="147"/>
    </row>
    <row r="767" spans="2:10">
      <c r="B767" s="147"/>
      <c r="C767" s="147"/>
      <c r="D767" s="147"/>
      <c r="E767" s="206"/>
      <c r="F767" s="206"/>
      <c r="G767" s="152"/>
      <c r="H767" s="147"/>
      <c r="I767" s="202"/>
      <c r="J767" s="147"/>
    </row>
    <row r="768" spans="2:10">
      <c r="B768" s="147"/>
      <c r="C768" s="147"/>
      <c r="D768" s="147"/>
      <c r="E768" s="206"/>
      <c r="F768" s="206"/>
      <c r="G768" s="152"/>
      <c r="H768" s="147"/>
      <c r="I768" s="202"/>
      <c r="J768" s="147"/>
    </row>
    <row r="769" spans="2:10">
      <c r="B769" s="147"/>
      <c r="C769" s="147"/>
      <c r="D769" s="147"/>
      <c r="E769" s="206"/>
      <c r="F769" s="206"/>
      <c r="G769" s="152"/>
      <c r="H769" s="147"/>
      <c r="I769" s="202"/>
      <c r="J769" s="147"/>
    </row>
    <row r="770" spans="2:10">
      <c r="B770" s="147"/>
      <c r="C770" s="147"/>
      <c r="D770" s="147"/>
      <c r="E770" s="206"/>
      <c r="F770" s="206"/>
      <c r="G770" s="152"/>
      <c r="H770" s="147"/>
      <c r="I770" s="202"/>
      <c r="J770" s="147"/>
    </row>
    <row r="771" spans="2:10">
      <c r="B771" s="147"/>
      <c r="C771" s="147"/>
      <c r="D771" s="147"/>
      <c r="E771" s="206"/>
      <c r="F771" s="206"/>
      <c r="G771" s="152"/>
      <c r="H771" s="147"/>
      <c r="I771" s="202"/>
      <c r="J771" s="147"/>
    </row>
    <row r="772" spans="2:10">
      <c r="B772" s="147"/>
      <c r="C772" s="147"/>
      <c r="D772" s="147"/>
      <c r="E772" s="206"/>
      <c r="F772" s="206"/>
      <c r="G772" s="152"/>
      <c r="H772" s="147"/>
      <c r="I772" s="202"/>
      <c r="J772" s="147"/>
    </row>
    <row r="773" spans="2:10">
      <c r="B773" s="147"/>
      <c r="C773" s="147"/>
      <c r="D773" s="147"/>
      <c r="E773" s="206"/>
      <c r="F773" s="206"/>
      <c r="G773" s="152"/>
      <c r="H773" s="147"/>
      <c r="I773" s="202"/>
      <c r="J773" s="147"/>
    </row>
    <row r="774" spans="2:10">
      <c r="B774" s="147"/>
      <c r="C774" s="147"/>
      <c r="D774" s="147"/>
      <c r="E774" s="206"/>
      <c r="F774" s="206"/>
      <c r="G774" s="152"/>
      <c r="H774" s="147"/>
      <c r="I774" s="202"/>
      <c r="J774" s="147"/>
    </row>
    <row r="775" spans="2:10">
      <c r="B775" s="147"/>
      <c r="C775" s="147"/>
      <c r="D775" s="147"/>
      <c r="E775" s="206"/>
      <c r="F775" s="206"/>
      <c r="G775" s="152"/>
      <c r="H775" s="147"/>
      <c r="I775" s="202"/>
      <c r="J775" s="147"/>
    </row>
    <row r="776" spans="2:10">
      <c r="B776" s="147"/>
      <c r="C776" s="147"/>
      <c r="D776" s="147"/>
      <c r="E776" s="206"/>
      <c r="F776" s="206"/>
      <c r="G776" s="152"/>
      <c r="H776" s="147"/>
      <c r="I776" s="202"/>
      <c r="J776" s="147"/>
    </row>
    <row r="777" spans="2:10">
      <c r="B777" s="147"/>
      <c r="C777" s="147"/>
      <c r="D777" s="147"/>
      <c r="E777" s="206"/>
      <c r="F777" s="206"/>
      <c r="G777" s="152"/>
      <c r="H777" s="147"/>
      <c r="I777" s="202"/>
      <c r="J777" s="147"/>
    </row>
    <row r="778" spans="2:10">
      <c r="B778" s="147"/>
      <c r="C778" s="147"/>
      <c r="D778" s="147"/>
      <c r="E778" s="206"/>
      <c r="F778" s="206"/>
      <c r="G778" s="152"/>
      <c r="H778" s="147"/>
      <c r="I778" s="202"/>
      <c r="J778" s="147"/>
    </row>
    <row r="779" spans="2:10">
      <c r="B779" s="147"/>
      <c r="C779" s="147"/>
      <c r="D779" s="147"/>
      <c r="E779" s="206"/>
      <c r="F779" s="206"/>
      <c r="G779" s="152"/>
      <c r="H779" s="147"/>
      <c r="I779" s="202"/>
      <c r="J779" s="147"/>
    </row>
    <row r="780" spans="2:10">
      <c r="B780" s="147"/>
      <c r="C780" s="147"/>
      <c r="D780" s="147"/>
      <c r="E780" s="206"/>
      <c r="F780" s="206"/>
      <c r="G780" s="152"/>
      <c r="H780" s="147"/>
      <c r="I780" s="202"/>
      <c r="J780" s="147"/>
    </row>
    <row r="781" spans="2:10">
      <c r="B781" s="147"/>
      <c r="C781" s="147"/>
      <c r="D781" s="147"/>
      <c r="E781" s="206"/>
      <c r="F781" s="206"/>
      <c r="G781" s="152"/>
      <c r="H781" s="147"/>
      <c r="I781" s="202"/>
      <c r="J781" s="147"/>
    </row>
    <row r="782" spans="2:10">
      <c r="B782" s="147"/>
      <c r="C782" s="147"/>
      <c r="D782" s="147"/>
      <c r="E782" s="206"/>
      <c r="F782" s="206"/>
      <c r="G782" s="152"/>
      <c r="H782" s="147"/>
      <c r="I782" s="202"/>
      <c r="J782" s="147"/>
    </row>
    <row r="783" spans="2:10">
      <c r="B783" s="147"/>
      <c r="C783" s="147"/>
      <c r="D783" s="147"/>
      <c r="E783" s="206"/>
      <c r="F783" s="206"/>
      <c r="G783" s="152"/>
      <c r="H783" s="147"/>
      <c r="I783" s="202"/>
      <c r="J783" s="147"/>
    </row>
    <row r="784" spans="2:10">
      <c r="B784" s="147"/>
      <c r="C784" s="147"/>
      <c r="D784" s="147"/>
      <c r="E784" s="206"/>
      <c r="F784" s="206"/>
      <c r="G784" s="152"/>
      <c r="H784" s="147"/>
      <c r="I784" s="202"/>
      <c r="J784" s="147"/>
    </row>
    <row r="785" spans="2:10">
      <c r="B785" s="147"/>
      <c r="C785" s="147"/>
      <c r="D785" s="147"/>
      <c r="E785" s="206"/>
      <c r="F785" s="206"/>
      <c r="G785" s="152"/>
      <c r="H785" s="147"/>
      <c r="I785" s="202"/>
      <c r="J785" s="147"/>
    </row>
    <row r="786" spans="2:10">
      <c r="B786" s="147"/>
      <c r="C786" s="147"/>
      <c r="D786" s="147"/>
      <c r="E786" s="206"/>
      <c r="F786" s="206"/>
      <c r="G786" s="152"/>
      <c r="H786" s="147"/>
      <c r="I786" s="202"/>
      <c r="J786" s="147"/>
    </row>
    <row r="787" spans="2:10">
      <c r="B787" s="147"/>
      <c r="C787" s="147"/>
      <c r="D787" s="147"/>
      <c r="E787" s="206"/>
      <c r="F787" s="206"/>
      <c r="G787" s="152"/>
      <c r="H787" s="147"/>
      <c r="I787" s="202"/>
      <c r="J787" s="147"/>
    </row>
    <row r="788" spans="2:10">
      <c r="B788" s="147"/>
      <c r="C788" s="147"/>
      <c r="D788" s="147"/>
      <c r="E788" s="206"/>
      <c r="F788" s="206"/>
      <c r="G788" s="152"/>
      <c r="H788" s="147"/>
      <c r="I788" s="202"/>
      <c r="J788" s="147"/>
    </row>
    <row r="789" spans="2:10">
      <c r="B789" s="147"/>
      <c r="C789" s="147"/>
      <c r="D789" s="147"/>
      <c r="E789" s="206"/>
      <c r="F789" s="206"/>
      <c r="G789" s="152"/>
      <c r="H789" s="147"/>
      <c r="I789" s="202"/>
      <c r="J789" s="147"/>
    </row>
    <row r="790" spans="2:10">
      <c r="B790" s="147"/>
      <c r="C790" s="147"/>
      <c r="D790" s="147"/>
      <c r="E790" s="206"/>
      <c r="F790" s="206"/>
      <c r="G790" s="152"/>
      <c r="H790" s="147"/>
      <c r="I790" s="202"/>
      <c r="J790" s="147"/>
    </row>
    <row r="791" spans="2:10">
      <c r="B791" s="147"/>
      <c r="C791" s="147"/>
      <c r="D791" s="147"/>
      <c r="E791" s="206"/>
      <c r="F791" s="206"/>
      <c r="G791" s="152"/>
      <c r="H791" s="147"/>
      <c r="I791" s="202"/>
      <c r="J791" s="147"/>
    </row>
    <row r="792" spans="2:10">
      <c r="B792" s="147"/>
      <c r="C792" s="147"/>
      <c r="D792" s="147"/>
      <c r="E792" s="206"/>
      <c r="F792" s="206"/>
      <c r="G792" s="152"/>
      <c r="H792" s="147"/>
      <c r="I792" s="202"/>
      <c r="J792" s="147"/>
    </row>
    <row r="793" spans="2:10">
      <c r="B793" s="147"/>
      <c r="C793" s="147"/>
      <c r="D793" s="147"/>
      <c r="E793" s="206"/>
      <c r="F793" s="206"/>
      <c r="G793" s="152"/>
      <c r="H793" s="147"/>
      <c r="I793" s="202"/>
      <c r="J793" s="147"/>
    </row>
    <row r="794" spans="2:10">
      <c r="B794" s="147"/>
      <c r="C794" s="147"/>
      <c r="D794" s="147"/>
      <c r="E794" s="206"/>
      <c r="F794" s="206"/>
      <c r="G794" s="152"/>
      <c r="H794" s="147"/>
      <c r="I794" s="202"/>
      <c r="J794" s="147"/>
    </row>
    <row r="795" spans="2:10">
      <c r="B795" s="147"/>
      <c r="C795" s="147"/>
      <c r="D795" s="147"/>
      <c r="E795" s="206"/>
      <c r="F795" s="206"/>
      <c r="G795" s="152"/>
      <c r="H795" s="147"/>
      <c r="I795" s="202"/>
      <c r="J795" s="147"/>
    </row>
    <row r="796" spans="2:10">
      <c r="C796" s="147"/>
      <c r="D796" s="147"/>
      <c r="E796" s="206"/>
      <c r="F796" s="206"/>
      <c r="G796" s="152"/>
    </row>
    <row r="797" spans="2:10">
      <c r="C797" s="147"/>
      <c r="D797" s="147"/>
      <c r="E797" s="206"/>
      <c r="F797" s="206"/>
      <c r="G797" s="152"/>
    </row>
    <row r="798" spans="2:10">
      <c r="C798" s="147"/>
      <c r="D798" s="147"/>
      <c r="E798" s="206"/>
      <c r="F798" s="206"/>
      <c r="G798" s="152"/>
    </row>
    <row r="799" spans="2:10">
      <c r="C799" s="147"/>
      <c r="D799" s="147"/>
      <c r="E799" s="206"/>
      <c r="F799" s="206"/>
      <c r="G799" s="152"/>
    </row>
    <row r="800" spans="2:10">
      <c r="C800" s="147"/>
      <c r="D800" s="147"/>
      <c r="E800" s="206"/>
      <c r="F800" s="206"/>
      <c r="G800" s="152"/>
    </row>
    <row r="801" spans="3:7">
      <c r="C801" s="147"/>
      <c r="D801" s="147"/>
      <c r="E801" s="206"/>
      <c r="F801" s="206"/>
      <c r="G801" s="152"/>
    </row>
    <row r="802" spans="3:7">
      <c r="C802" s="147"/>
      <c r="D802" s="147"/>
      <c r="E802" s="206"/>
      <c r="F802" s="206"/>
      <c r="G802" s="152"/>
    </row>
    <row r="803" spans="3:7">
      <c r="C803" s="147"/>
      <c r="D803" s="147"/>
      <c r="E803" s="206"/>
      <c r="F803" s="206"/>
      <c r="G803" s="152"/>
    </row>
    <row r="804" spans="3:7">
      <c r="C804" s="147"/>
      <c r="D804" s="147"/>
      <c r="E804" s="206"/>
      <c r="F804" s="206"/>
      <c r="G804" s="152"/>
    </row>
    <row r="805" spans="3:7">
      <c r="C805" s="147"/>
      <c r="D805" s="147"/>
      <c r="E805" s="206"/>
      <c r="F805" s="206"/>
      <c r="G805" s="152"/>
    </row>
    <row r="806" spans="3:7">
      <c r="C806" s="147"/>
      <c r="D806" s="147"/>
      <c r="E806" s="206"/>
      <c r="F806" s="206"/>
      <c r="G806" s="152"/>
    </row>
    <row r="807" spans="3:7">
      <c r="C807" s="147"/>
      <c r="D807" s="147"/>
      <c r="E807" s="206"/>
      <c r="F807" s="206"/>
      <c r="G807" s="152"/>
    </row>
    <row r="808" spans="3:7">
      <c r="C808" s="147"/>
      <c r="D808" s="147"/>
      <c r="E808" s="206"/>
      <c r="F808" s="206"/>
      <c r="G808" s="152"/>
    </row>
    <row r="809" spans="3:7">
      <c r="C809" s="147"/>
      <c r="D809" s="147"/>
      <c r="E809" s="206"/>
      <c r="F809" s="206"/>
      <c r="G809" s="152"/>
    </row>
    <row r="810" spans="3:7">
      <c r="C810" s="147"/>
      <c r="D810" s="147"/>
      <c r="E810" s="206"/>
      <c r="F810" s="206"/>
      <c r="G810" s="152"/>
    </row>
    <row r="811" spans="3:7">
      <c r="C811" s="147"/>
      <c r="D811" s="147"/>
      <c r="E811" s="206"/>
      <c r="F811" s="206"/>
      <c r="G811" s="152"/>
    </row>
    <row r="812" spans="3:7">
      <c r="C812" s="147"/>
      <c r="D812" s="147"/>
      <c r="E812" s="206"/>
      <c r="F812" s="206"/>
      <c r="G812" s="152"/>
    </row>
    <row r="813" spans="3:7">
      <c r="C813" s="147"/>
      <c r="D813" s="147"/>
      <c r="E813" s="206"/>
      <c r="F813" s="206"/>
      <c r="G813" s="152"/>
    </row>
  </sheetData>
  <phoneticPr fontId="71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2:V80"/>
  <sheetViews>
    <sheetView topLeftCell="B37" workbookViewId="0">
      <selection activeCell="J58" sqref="J58"/>
    </sheetView>
  </sheetViews>
  <sheetFormatPr baseColWidth="10" defaultColWidth="11.42578125" defaultRowHeight="11.25"/>
  <cols>
    <col min="1" max="1" width="11.42578125" style="104"/>
    <col min="2" max="2" width="20" style="104" bestFit="1" customWidth="1"/>
    <col min="3" max="16384" width="11.42578125" style="104"/>
  </cols>
  <sheetData>
    <row r="2" spans="2:22">
      <c r="B2" s="142" t="s">
        <v>39</v>
      </c>
    </row>
    <row r="3" spans="2:22">
      <c r="B3" s="145"/>
      <c r="C3" s="145"/>
      <c r="D3" s="146"/>
      <c r="E3" s="146" t="s">
        <v>33</v>
      </c>
      <c r="F3" s="354" t="s">
        <v>34</v>
      </c>
      <c r="G3" s="354"/>
      <c r="H3" s="354"/>
      <c r="I3" s="147"/>
    </row>
    <row r="4" spans="2:22">
      <c r="B4" s="148"/>
      <c r="C4" s="148"/>
      <c r="D4" s="149" t="s">
        <v>35</v>
      </c>
      <c r="E4" s="149" t="s">
        <v>36</v>
      </c>
      <c r="F4" s="149" t="s">
        <v>21</v>
      </c>
      <c r="G4" s="149" t="s">
        <v>37</v>
      </c>
      <c r="H4" s="149" t="s">
        <v>65</v>
      </c>
      <c r="I4" s="149" t="s">
        <v>38</v>
      </c>
    </row>
    <row r="5" spans="2:22">
      <c r="B5" s="153">
        <f>IF(C5="E",YEAR(Dat_01!B$2)-4,"")</f>
        <v>2022</v>
      </c>
      <c r="C5" s="154" t="s">
        <v>90</v>
      </c>
      <c r="D5" s="150">
        <v>7030.3147235812303</v>
      </c>
      <c r="E5" s="151">
        <v>18538.071</v>
      </c>
      <c r="F5" s="151">
        <v>13035.252519200001</v>
      </c>
      <c r="G5" s="151">
        <v>5477.0266986999977</v>
      </c>
      <c r="H5" s="151">
        <v>9325.0652119229526</v>
      </c>
      <c r="I5" s="152">
        <f t="shared" ref="I5:I16" si="0">D5/E5*100</f>
        <v>37.923658419375087</v>
      </c>
      <c r="P5" s="238"/>
      <c r="Q5" s="238"/>
      <c r="R5" s="238"/>
      <c r="S5" s="238"/>
      <c r="T5" s="238"/>
      <c r="U5" s="238"/>
      <c r="V5" s="238"/>
    </row>
    <row r="6" spans="2:22">
      <c r="B6" s="153" t="str">
        <f>IF(C6="E",YEAR(Dat_01!B$2)-4,"")</f>
        <v/>
      </c>
      <c r="C6" s="154" t="s">
        <v>82</v>
      </c>
      <c r="D6" s="150">
        <v>6849.7365063100897</v>
      </c>
      <c r="E6" s="151">
        <v>18538.071</v>
      </c>
      <c r="F6" s="151">
        <v>13419.170344149999</v>
      </c>
      <c r="G6" s="151">
        <v>5596.8493599999993</v>
      </c>
      <c r="H6" s="151">
        <v>10034.297981343811</v>
      </c>
      <c r="I6" s="152">
        <f t="shared" si="0"/>
        <v>36.949564527561094</v>
      </c>
      <c r="P6" s="238"/>
      <c r="Q6" s="238"/>
      <c r="R6" s="238"/>
      <c r="S6" s="238"/>
      <c r="T6" s="238"/>
    </row>
    <row r="7" spans="2:22">
      <c r="B7" s="153" t="str">
        <f>IF(C7="E",YEAR(Dat_01!B$2)-4,"")</f>
        <v/>
      </c>
      <c r="C7" s="154" t="s">
        <v>83</v>
      </c>
      <c r="D7" s="150">
        <v>7242.5224796164302</v>
      </c>
      <c r="E7" s="151">
        <v>18538.071</v>
      </c>
      <c r="F7" s="151">
        <v>13898.837668799999</v>
      </c>
      <c r="G7" s="151">
        <v>5950.5832111499976</v>
      </c>
      <c r="H7" s="151">
        <v>10651.382707382183</v>
      </c>
      <c r="I7" s="152">
        <f t="shared" si="0"/>
        <v>39.068371674789844</v>
      </c>
      <c r="P7" s="238"/>
      <c r="Q7" s="238"/>
      <c r="R7" s="238"/>
      <c r="S7" s="238"/>
      <c r="T7" s="238"/>
    </row>
    <row r="8" spans="2:22">
      <c r="B8" s="153" t="str">
        <f>IF(C8="E",YEAR(Dat_01!B$2)-4,"")</f>
        <v/>
      </c>
      <c r="C8" s="154" t="s">
        <v>84</v>
      </c>
      <c r="D8" s="150">
        <v>7896.3920571419603</v>
      </c>
      <c r="E8" s="151">
        <v>18538.071</v>
      </c>
      <c r="F8" s="151">
        <v>13999.32071715</v>
      </c>
      <c r="G8" s="151">
        <v>7213.8650399999988</v>
      </c>
      <c r="H8" s="151">
        <v>11224.845272938524</v>
      </c>
      <c r="I8" s="152">
        <f t="shared" si="0"/>
        <v>42.595543285717049</v>
      </c>
      <c r="P8" s="238"/>
      <c r="Q8" s="238"/>
      <c r="R8" s="238"/>
      <c r="S8" s="238"/>
      <c r="T8" s="238"/>
    </row>
    <row r="9" spans="2:22">
      <c r="B9" s="153" t="str">
        <f>IF(C9="E",YEAR(Dat_01!B$2)-4,"")</f>
        <v/>
      </c>
      <c r="C9" s="154" t="s">
        <v>83</v>
      </c>
      <c r="D9" s="150">
        <v>7862.6649207238397</v>
      </c>
      <c r="E9" s="151">
        <v>18538.071</v>
      </c>
      <c r="F9" s="151">
        <v>14194.180336200001</v>
      </c>
      <c r="G9" s="151">
        <v>7275.1757219999972</v>
      </c>
      <c r="H9" s="151">
        <v>11376.573024106245</v>
      </c>
      <c r="I9" s="152">
        <f t="shared" si="0"/>
        <v>42.413608841631039</v>
      </c>
      <c r="P9" s="238"/>
      <c r="Q9" s="238"/>
      <c r="R9" s="238"/>
      <c r="S9" s="238"/>
      <c r="T9" s="238"/>
    </row>
    <row r="10" spans="2:22">
      <c r="B10" s="153" t="str">
        <f>IF(C10="E",YEAR(Dat_01!B$2)-4,"")</f>
        <v/>
      </c>
      <c r="C10" s="154" t="s">
        <v>85</v>
      </c>
      <c r="D10" s="150">
        <v>7336.6756913938698</v>
      </c>
      <c r="E10" s="151">
        <v>18538.071</v>
      </c>
      <c r="F10" s="151">
        <v>13918.899108600002</v>
      </c>
      <c r="G10" s="151">
        <v>6720.2938423489422</v>
      </c>
      <c r="H10" s="151">
        <v>10871.053378959414</v>
      </c>
      <c r="I10" s="152">
        <f t="shared" si="0"/>
        <v>39.576262769701714</v>
      </c>
      <c r="P10" s="238"/>
      <c r="Q10" s="238"/>
      <c r="R10" s="238"/>
      <c r="S10" s="238"/>
      <c r="T10" s="238"/>
    </row>
    <row r="11" spans="2:22">
      <c r="B11" s="153" t="str">
        <f>IF(C11="E",YEAR(Dat_01!B$2)-4,"")</f>
        <v/>
      </c>
      <c r="C11" s="154" t="s">
        <v>85</v>
      </c>
      <c r="D11" s="150">
        <v>6503.7333101836002</v>
      </c>
      <c r="E11" s="151">
        <v>18538.071</v>
      </c>
      <c r="F11" s="151">
        <v>12486.880997399992</v>
      </c>
      <c r="G11" s="151">
        <v>5861.5753199858218</v>
      </c>
      <c r="H11" s="151">
        <v>9714.3243532549059</v>
      </c>
      <c r="I11" s="152">
        <f t="shared" si="0"/>
        <v>35.083117926258886</v>
      </c>
      <c r="P11" s="238"/>
      <c r="Q11" s="238"/>
      <c r="R11" s="238"/>
      <c r="S11" s="238"/>
      <c r="T11" s="238"/>
    </row>
    <row r="12" spans="2:22">
      <c r="B12" s="153" t="str">
        <f>IF(C12="E",YEAR(Dat_01!B$2)-4,"")</f>
        <v/>
      </c>
      <c r="C12" s="154" t="s">
        <v>84</v>
      </c>
      <c r="D12" s="150">
        <v>5663.3995666707096</v>
      </c>
      <c r="E12" s="151">
        <v>18538.071</v>
      </c>
      <c r="F12" s="151">
        <v>11155.732386300004</v>
      </c>
      <c r="G12" s="151">
        <v>5122.4186417062165</v>
      </c>
      <c r="H12" s="151">
        <v>8618.9540563929877</v>
      </c>
      <c r="I12" s="152">
        <f t="shared" si="0"/>
        <v>30.550101823812785</v>
      </c>
      <c r="P12" s="238"/>
      <c r="Q12" s="238"/>
      <c r="R12" s="238"/>
      <c r="S12" s="238"/>
      <c r="T12" s="238"/>
    </row>
    <row r="13" spans="2:22">
      <c r="B13" s="153" t="str">
        <f>IF(C13="E",YEAR(Dat_01!B$2)-4,"")</f>
        <v/>
      </c>
      <c r="C13" s="154" t="s">
        <v>86</v>
      </c>
      <c r="D13" s="150">
        <v>4854.8048105114403</v>
      </c>
      <c r="E13" s="151">
        <v>18538.071</v>
      </c>
      <c r="F13" s="151">
        <v>10360.471131599998</v>
      </c>
      <c r="G13" s="151">
        <v>4769.6031145773832</v>
      </c>
      <c r="H13" s="151">
        <v>7853.1852055328782</v>
      </c>
      <c r="I13" s="152">
        <f t="shared" si="0"/>
        <v>26.188295483987741</v>
      </c>
      <c r="P13" s="238"/>
      <c r="Q13" s="238"/>
      <c r="R13" s="238"/>
      <c r="S13" s="238"/>
      <c r="T13" s="238"/>
    </row>
    <row r="14" spans="2:22">
      <c r="B14" s="153" t="str">
        <f>IF(C14="E",YEAR(Dat_01!B$2)-4,"")</f>
        <v/>
      </c>
      <c r="C14" s="154" t="s">
        <v>87</v>
      </c>
      <c r="D14" s="150">
        <v>4989.2516276194901</v>
      </c>
      <c r="E14" s="151">
        <v>18538.071</v>
      </c>
      <c r="F14" s="151">
        <v>10037.671056599998</v>
      </c>
      <c r="G14" s="151">
        <v>4490.9091346624027</v>
      </c>
      <c r="H14" s="151">
        <v>7700.931035509464</v>
      </c>
      <c r="I14" s="152">
        <f t="shared" si="0"/>
        <v>26.913542555854331</v>
      </c>
      <c r="P14" s="238"/>
      <c r="Q14" s="238"/>
      <c r="R14" s="238"/>
      <c r="S14" s="238"/>
      <c r="T14" s="238"/>
    </row>
    <row r="15" spans="2:22">
      <c r="B15" s="153" t="str">
        <f>IF(C15="E",YEAR(Dat_01!B$2)-4,"")</f>
        <v/>
      </c>
      <c r="C15" s="154" t="s">
        <v>88</v>
      </c>
      <c r="D15" s="150">
        <v>5789.2389871449896</v>
      </c>
      <c r="E15" s="151">
        <v>18538.071</v>
      </c>
      <c r="F15" s="151">
        <v>11248.176501599997</v>
      </c>
      <c r="G15" s="151">
        <v>4818.1352348499995</v>
      </c>
      <c r="H15" s="151">
        <v>8119.3286799822454</v>
      </c>
      <c r="I15" s="152">
        <f t="shared" si="0"/>
        <v>31.228917977199405</v>
      </c>
      <c r="P15" s="238"/>
      <c r="Q15" s="238"/>
      <c r="R15" s="238"/>
      <c r="S15" s="238"/>
      <c r="T15" s="238"/>
    </row>
    <row r="16" spans="2:22">
      <c r="B16" s="153" t="str">
        <f>IF(C16="E",YEAR(Dat_01!B$2)-4,"")</f>
        <v/>
      </c>
      <c r="C16" s="154" t="s">
        <v>89</v>
      </c>
      <c r="D16" s="150">
        <v>8226.3793556488708</v>
      </c>
      <c r="E16" s="151">
        <v>18538.071</v>
      </c>
      <c r="F16" s="151">
        <v>13212.158572249993</v>
      </c>
      <c r="G16" s="151">
        <v>5311.2606904000004</v>
      </c>
      <c r="H16" s="151">
        <v>8643.2465402423641</v>
      </c>
      <c r="I16" s="152">
        <f t="shared" si="0"/>
        <v>44.375595258259992</v>
      </c>
      <c r="P16" s="238"/>
      <c r="Q16" s="238"/>
      <c r="R16" s="238"/>
      <c r="S16" s="238"/>
      <c r="T16" s="238"/>
    </row>
    <row r="17" spans="2:20">
      <c r="B17" s="153">
        <f>IF(C17="E",YEAR(Dat_01!B$2)-3,"")</f>
        <v>2023</v>
      </c>
      <c r="C17" s="154" t="s">
        <v>90</v>
      </c>
      <c r="D17" s="150">
        <v>10223.608293560101</v>
      </c>
      <c r="E17" s="151">
        <v>18538.071</v>
      </c>
      <c r="F17" s="151">
        <v>13040.239735350002</v>
      </c>
      <c r="G17" s="151">
        <v>5486.0984956999982</v>
      </c>
      <c r="H17" s="151">
        <v>9345.1985046020109</v>
      </c>
      <c r="I17" s="152">
        <f>D17/E17*100</f>
        <v>55.149256325321552</v>
      </c>
      <c r="P17" s="238"/>
      <c r="Q17" s="238"/>
      <c r="R17" s="238"/>
      <c r="S17" s="238"/>
      <c r="T17" s="238"/>
    </row>
    <row r="18" spans="2:20">
      <c r="B18" s="153" t="str">
        <f>IF(C18="E",YEAR(Dat_01!B$2)-3,"")</f>
        <v/>
      </c>
      <c r="C18" s="154" t="s">
        <v>82</v>
      </c>
      <c r="D18" s="150">
        <v>9799.5666123993706</v>
      </c>
      <c r="E18" s="151">
        <v>18538.071</v>
      </c>
      <c r="F18" s="151">
        <v>13487.652788849999</v>
      </c>
      <c r="G18" s="151">
        <v>5615.0378613499997</v>
      </c>
      <c r="H18" s="151">
        <v>10020.752600659313</v>
      </c>
      <c r="I18" s="152">
        <f t="shared" ref="I18:I52" si="1">D18/E18*100</f>
        <v>52.861846372253993</v>
      </c>
      <c r="P18" s="238"/>
      <c r="Q18" s="238"/>
      <c r="R18" s="238"/>
      <c r="S18" s="238"/>
      <c r="T18" s="238"/>
    </row>
    <row r="19" spans="2:20">
      <c r="B19" s="153" t="str">
        <f>IF(C19="E",YEAR(Dat_01!B$2)-3,"")</f>
        <v/>
      </c>
      <c r="C19" s="154" t="s">
        <v>83</v>
      </c>
      <c r="D19" s="150">
        <v>10212.192476558999</v>
      </c>
      <c r="E19" s="151">
        <v>18538.071</v>
      </c>
      <c r="F19" s="151">
        <v>13930.057121199998</v>
      </c>
      <c r="G19" s="151">
        <v>6014.3883134999978</v>
      </c>
      <c r="H19" s="151">
        <v>10628.434723363</v>
      </c>
      <c r="I19" s="152">
        <f t="shared" si="1"/>
        <v>55.087675932188404</v>
      </c>
      <c r="P19" s="238"/>
      <c r="Q19" s="238"/>
      <c r="R19" s="238"/>
      <c r="S19" s="238"/>
      <c r="T19" s="238"/>
    </row>
    <row r="20" spans="2:20">
      <c r="B20" s="153" t="str">
        <f>IF(C20="E",YEAR(Dat_01!B$2)-3,"")</f>
        <v/>
      </c>
      <c r="C20" s="154" t="s">
        <v>84</v>
      </c>
      <c r="D20" s="150">
        <v>9885.1331418185291</v>
      </c>
      <c r="E20" s="151">
        <v>18538.071</v>
      </c>
      <c r="F20" s="151">
        <v>14047.993249249999</v>
      </c>
      <c r="G20" s="151">
        <v>7267.1733878570958</v>
      </c>
      <c r="H20" s="151">
        <v>11226.165030795621</v>
      </c>
      <c r="I20" s="152">
        <f t="shared" si="1"/>
        <v>53.323418287795576</v>
      </c>
      <c r="P20" s="238"/>
      <c r="Q20" s="238"/>
      <c r="R20" s="238"/>
      <c r="S20" s="238"/>
      <c r="T20" s="238"/>
    </row>
    <row r="21" spans="2:20">
      <c r="B21" s="153" t="str">
        <f>IF(C21="E",YEAR(Dat_01!B$2)-3,"")</f>
        <v/>
      </c>
      <c r="C21" s="154" t="s">
        <v>83</v>
      </c>
      <c r="D21" s="150">
        <v>9365.4005860970192</v>
      </c>
      <c r="E21" s="151">
        <v>18538.071</v>
      </c>
      <c r="F21" s="151">
        <v>14233.601752450002</v>
      </c>
      <c r="G21" s="151">
        <v>7325.0050030361872</v>
      </c>
      <c r="H21" s="151">
        <v>11367.959959142432</v>
      </c>
      <c r="I21" s="152">
        <f t="shared" si="1"/>
        <v>50.51982261852929</v>
      </c>
      <c r="P21" s="238"/>
      <c r="Q21" s="238"/>
      <c r="R21" s="238"/>
      <c r="S21" s="238"/>
      <c r="T21" s="238"/>
    </row>
    <row r="22" spans="2:20">
      <c r="B22" s="153" t="str">
        <f>IF(C22="E",YEAR(Dat_01!B$2)-3,"")</f>
        <v/>
      </c>
      <c r="C22" s="154" t="s">
        <v>85</v>
      </c>
      <c r="D22" s="150">
        <v>9135.7508606141801</v>
      </c>
      <c r="E22" s="151">
        <v>18538.071</v>
      </c>
      <c r="F22" s="151">
        <v>13976.290717650001</v>
      </c>
      <c r="G22" s="151">
        <v>6772.5070219186337</v>
      </c>
      <c r="H22" s="151">
        <v>10854.516130029104</v>
      </c>
      <c r="I22" s="152">
        <f t="shared" si="1"/>
        <v>49.281022068661727</v>
      </c>
      <c r="P22" s="238"/>
      <c r="Q22" s="238"/>
      <c r="R22" s="238"/>
      <c r="S22" s="238"/>
      <c r="T22" s="238"/>
    </row>
    <row r="23" spans="2:20">
      <c r="B23" s="153" t="str">
        <f>IF(C23="E",YEAR(Dat_01!B$2)-3,"")</f>
        <v/>
      </c>
      <c r="C23" s="154" t="s">
        <v>85</v>
      </c>
      <c r="D23" s="150">
        <v>8175.9128053970835</v>
      </c>
      <c r="E23" s="151">
        <v>18538.071</v>
      </c>
      <c r="F23" s="151">
        <v>12562.378863849992</v>
      </c>
      <c r="G23" s="151">
        <v>5915.1664204949993</v>
      </c>
      <c r="H23" s="151">
        <v>9688.0502232640847</v>
      </c>
      <c r="I23" s="152">
        <f t="shared" si="1"/>
        <v>44.103363318638081</v>
      </c>
      <c r="P23" s="238"/>
      <c r="Q23" s="238"/>
      <c r="R23" s="238"/>
      <c r="S23" s="238"/>
      <c r="T23" s="238"/>
    </row>
    <row r="24" spans="2:20">
      <c r="B24" s="153" t="str">
        <f>IF(C24="E",YEAR(Dat_01!B$2)-3,"")</f>
        <v/>
      </c>
      <c r="C24" s="154" t="s">
        <v>84</v>
      </c>
      <c r="D24" s="150">
        <v>7267.4230046471803</v>
      </c>
      <c r="E24" s="151">
        <v>18538.071</v>
      </c>
      <c r="F24" s="151">
        <v>11229.408822250003</v>
      </c>
      <c r="G24" s="151">
        <v>5168.0545450397494</v>
      </c>
      <c r="H24" s="151">
        <v>8576.9264407265182</v>
      </c>
      <c r="I24" s="152">
        <f t="shared" si="1"/>
        <v>39.202692689261895</v>
      </c>
      <c r="P24" s="238"/>
      <c r="Q24" s="238"/>
      <c r="R24" s="238"/>
      <c r="S24" s="238"/>
      <c r="T24" s="238"/>
    </row>
    <row r="25" spans="2:20">
      <c r="B25" s="153" t="str">
        <f>IF(C25="E",YEAR(Dat_01!B$2)-3,"")</f>
        <v/>
      </c>
      <c r="C25" s="154" t="s">
        <v>86</v>
      </c>
      <c r="D25" s="150">
        <v>7008.4596426560602</v>
      </c>
      <c r="E25" s="151">
        <v>18538.071</v>
      </c>
      <c r="F25" s="151">
        <v>10432.212868399996</v>
      </c>
      <c r="G25" s="151">
        <v>4785.5655401029526</v>
      </c>
      <c r="H25" s="151">
        <v>7781.2152055584493</v>
      </c>
      <c r="I25" s="152">
        <f t="shared" si="1"/>
        <v>37.805765457776381</v>
      </c>
      <c r="P25" s="238"/>
      <c r="Q25" s="238"/>
      <c r="R25" s="238"/>
      <c r="S25" s="238"/>
      <c r="T25" s="238"/>
    </row>
    <row r="26" spans="2:20">
      <c r="B26" s="153" t="str">
        <f>IF(C26="E",YEAR(Dat_01!B$2)-3,"")</f>
        <v/>
      </c>
      <c r="C26" s="154" t="s">
        <v>87</v>
      </c>
      <c r="D26" s="150">
        <v>7614.13469651794</v>
      </c>
      <c r="E26" s="151">
        <v>18538.071</v>
      </c>
      <c r="F26" s="151">
        <v>10126.464060649998</v>
      </c>
      <c r="G26" s="151">
        <v>4514.7712603624032</v>
      </c>
      <c r="H26" s="151">
        <v>7613.3641368904337</v>
      </c>
      <c r="I26" s="152">
        <f t="shared" si="1"/>
        <v>41.07296113235266</v>
      </c>
      <c r="P26" s="238"/>
      <c r="Q26" s="238"/>
      <c r="R26" s="238"/>
      <c r="S26" s="238"/>
      <c r="T26" s="238"/>
    </row>
    <row r="27" spans="2:20">
      <c r="B27" s="153" t="str">
        <f>IF(C27="E",YEAR(Dat_01!B$2)-3,"")</f>
        <v/>
      </c>
      <c r="C27" s="154" t="s">
        <v>88</v>
      </c>
      <c r="D27" s="150">
        <v>9142.8206733039697</v>
      </c>
      <c r="E27" s="151">
        <v>18538.071</v>
      </c>
      <c r="F27" s="151">
        <v>11273.481864499998</v>
      </c>
      <c r="G27" s="151">
        <v>4824.0998959000008</v>
      </c>
      <c r="H27" s="151">
        <v>7991.0891993394935</v>
      </c>
      <c r="I27" s="152">
        <f t="shared" si="1"/>
        <v>49.319158791138349</v>
      </c>
      <c r="P27" s="238"/>
      <c r="Q27" s="238"/>
      <c r="R27" s="238"/>
      <c r="S27" s="238"/>
      <c r="T27" s="238"/>
    </row>
    <row r="28" spans="2:20">
      <c r="B28" s="153" t="str">
        <f>IF(C28="E",YEAR(Dat_01!B$2)-3,"")</f>
        <v/>
      </c>
      <c r="C28" s="154" t="s">
        <v>89</v>
      </c>
      <c r="D28" s="150">
        <v>9446.2258304710394</v>
      </c>
      <c r="E28" s="151">
        <v>18538.071</v>
      </c>
      <c r="F28" s="151">
        <v>13151.183606699993</v>
      </c>
      <c r="G28" s="151">
        <v>5306.2445997000004</v>
      </c>
      <c r="H28" s="151">
        <v>8518.007405024804</v>
      </c>
      <c r="I28" s="152">
        <f t="shared" si="1"/>
        <v>50.955818598769199</v>
      </c>
      <c r="P28" s="238"/>
      <c r="Q28" s="238"/>
      <c r="R28" s="238"/>
      <c r="S28" s="238"/>
      <c r="T28" s="238"/>
    </row>
    <row r="29" spans="2:20">
      <c r="B29" s="153">
        <f>IF(C29="E",YEAR(Dat_01!B$2)-2,"")</f>
        <v>2024</v>
      </c>
      <c r="C29" s="154" t="s">
        <v>90</v>
      </c>
      <c r="D29" s="150">
        <v>10688.2040657137</v>
      </c>
      <c r="E29" s="151">
        <v>18538.071</v>
      </c>
      <c r="F29" s="151">
        <v>13045.226951500001</v>
      </c>
      <c r="G29" s="151">
        <v>5495.1702926999978</v>
      </c>
      <c r="H29" s="151">
        <v>9256.8070597800142</v>
      </c>
      <c r="I29" s="152">
        <f t="shared" si="1"/>
        <v>57.655427394326523</v>
      </c>
      <c r="P29" s="238"/>
      <c r="Q29" s="238"/>
      <c r="R29" s="238"/>
      <c r="S29" s="238"/>
      <c r="T29" s="238"/>
    </row>
    <row r="30" spans="2:20">
      <c r="B30" s="153" t="str">
        <f>IF(C30="E",YEAR(Dat_01!B$2)-2,"")</f>
        <v/>
      </c>
      <c r="C30" s="154" t="s">
        <v>82</v>
      </c>
      <c r="D30" s="150">
        <v>11221.4886575035</v>
      </c>
      <c r="E30" s="151">
        <v>18538.071</v>
      </c>
      <c r="F30" s="151">
        <v>13556.135233550001</v>
      </c>
      <c r="G30" s="151">
        <v>5633.2263627000011</v>
      </c>
      <c r="H30" s="151">
        <v>9899.4168212792774</v>
      </c>
      <c r="I30" s="152">
        <f t="shared" si="1"/>
        <v>60.532126872874201</v>
      </c>
      <c r="P30" s="238"/>
      <c r="Q30" s="238"/>
      <c r="R30" s="238"/>
      <c r="S30" s="238"/>
      <c r="T30" s="238"/>
    </row>
    <row r="31" spans="2:20">
      <c r="B31" s="153" t="str">
        <f>IF(C31="E",YEAR(Dat_01!B$2)-2,"")</f>
        <v/>
      </c>
      <c r="C31" s="154" t="s">
        <v>83</v>
      </c>
      <c r="D31" s="150">
        <v>13037.077126418901</v>
      </c>
      <c r="E31" s="151">
        <v>18538.071</v>
      </c>
      <c r="F31" s="151">
        <v>13961.2765736</v>
      </c>
      <c r="G31" s="151">
        <v>6078.193415849998</v>
      </c>
      <c r="H31" s="151">
        <v>10511.775118190948</v>
      </c>
      <c r="I31" s="152">
        <f t="shared" si="1"/>
        <v>70.325963938852652</v>
      </c>
      <c r="P31" s="238"/>
      <c r="Q31" s="238"/>
      <c r="R31" s="238"/>
      <c r="S31" s="238"/>
      <c r="T31" s="238"/>
    </row>
    <row r="32" spans="2:20">
      <c r="B32" s="153" t="str">
        <f>IF(C32="E",YEAR(Dat_01!B$2)-2,"")</f>
        <v/>
      </c>
      <c r="C32" s="154" t="s">
        <v>84</v>
      </c>
      <c r="D32" s="150">
        <v>13948.444329464</v>
      </c>
      <c r="E32" s="151">
        <v>18538.071</v>
      </c>
      <c r="F32" s="151">
        <v>14096.665781349997</v>
      </c>
      <c r="G32" s="151">
        <v>7320.4817357141919</v>
      </c>
      <c r="H32" s="151">
        <v>11066.351444386546</v>
      </c>
      <c r="I32" s="152">
        <f t="shared" si="1"/>
        <v>75.242156152406579</v>
      </c>
      <c r="P32" s="238"/>
      <c r="Q32" s="238"/>
      <c r="R32" s="238"/>
      <c r="S32" s="238"/>
      <c r="T32" s="238"/>
    </row>
    <row r="33" spans="2:20">
      <c r="B33" s="153" t="str">
        <f>IF(C33="E",YEAR(Dat_01!B$2)-2,"")</f>
        <v/>
      </c>
      <c r="C33" s="154" t="s">
        <v>83</v>
      </c>
      <c r="D33" s="150">
        <v>14172.663355012501</v>
      </c>
      <c r="E33" s="151">
        <v>18538.071</v>
      </c>
      <c r="F33" s="151">
        <v>14273.023168700001</v>
      </c>
      <c r="G33" s="151">
        <v>7374.8342840723762</v>
      </c>
      <c r="H33" s="151">
        <v>11196.411789447282</v>
      </c>
      <c r="I33" s="152">
        <f t="shared" si="1"/>
        <v>76.451661853126467</v>
      </c>
      <c r="P33" s="238"/>
      <c r="Q33" s="238"/>
      <c r="R33" s="238"/>
      <c r="S33" s="238"/>
      <c r="T33" s="238"/>
    </row>
    <row r="34" spans="2:20">
      <c r="B34" s="153" t="str">
        <f>IF(C34="E",YEAR(Dat_01!B$2)-2,"")</f>
        <v/>
      </c>
      <c r="C34" s="154" t="s">
        <v>85</v>
      </c>
      <c r="D34" s="150">
        <v>13422.185926005801</v>
      </c>
      <c r="E34" s="151">
        <v>18538.071</v>
      </c>
      <c r="F34" s="151">
        <v>14033.682326700004</v>
      </c>
      <c r="G34" s="151">
        <v>6824.7202014883251</v>
      </c>
      <c r="H34" s="151">
        <v>10706.264048059809</v>
      </c>
      <c r="I34" s="152">
        <f t="shared" si="1"/>
        <v>72.403358073263405</v>
      </c>
      <c r="P34" s="238"/>
      <c r="Q34" s="238"/>
      <c r="R34" s="238"/>
      <c r="S34" s="238"/>
      <c r="T34" s="238"/>
    </row>
    <row r="35" spans="2:20">
      <c r="B35" s="153" t="str">
        <f>IF(C35="E",YEAR(Dat_01!B$2)-2,"")</f>
        <v/>
      </c>
      <c r="C35" s="154" t="s">
        <v>85</v>
      </c>
      <c r="D35" s="150">
        <v>11989.9537651518</v>
      </c>
      <c r="E35" s="151">
        <v>18538.071</v>
      </c>
      <c r="F35" s="151">
        <v>12637.876730299991</v>
      </c>
      <c r="G35" s="151">
        <v>5968.7575210041769</v>
      </c>
      <c r="H35" s="151">
        <v>9551.05530403394</v>
      </c>
      <c r="I35" s="152">
        <f t="shared" si="1"/>
        <v>64.677461668756152</v>
      </c>
      <c r="P35" s="238"/>
      <c r="Q35" s="238"/>
      <c r="R35" s="238"/>
      <c r="S35" s="238"/>
      <c r="T35" s="238"/>
    </row>
    <row r="36" spans="2:20">
      <c r="B36" s="153" t="str">
        <f>IF(C36="E",YEAR(Dat_01!B$2)-2,"")</f>
        <v/>
      </c>
      <c r="C36" s="154" t="s">
        <v>84</v>
      </c>
      <c r="D36" s="150">
        <v>10414.1239856706</v>
      </c>
      <c r="E36" s="151">
        <v>18538.071</v>
      </c>
      <c r="F36" s="151">
        <v>11303.085258200004</v>
      </c>
      <c r="G36" s="151">
        <v>5213.6904483732833</v>
      </c>
      <c r="H36" s="151">
        <v>8444.0754629588773</v>
      </c>
      <c r="I36" s="152">
        <f t="shared" si="1"/>
        <v>56.176955982478439</v>
      </c>
      <c r="P36" s="238"/>
      <c r="Q36" s="238"/>
      <c r="R36" s="238"/>
      <c r="S36" s="238"/>
      <c r="T36" s="238"/>
    </row>
    <row r="37" spans="2:20">
      <c r="B37" s="153" t="str">
        <f>IF(C37="E",YEAR(Dat_01!B$2)-2,"")</f>
        <v/>
      </c>
      <c r="C37" s="154" t="s">
        <v>86</v>
      </c>
      <c r="D37" s="150">
        <v>9721.2123072402792</v>
      </c>
      <c r="E37" s="151">
        <v>18538.071</v>
      </c>
      <c r="F37" s="151">
        <v>10503.954605199997</v>
      </c>
      <c r="G37" s="151">
        <v>4801.527965628522</v>
      </c>
      <c r="H37" s="151">
        <v>7672.7940631912497</v>
      </c>
      <c r="I37" s="152">
        <f t="shared" si="1"/>
        <v>52.439179390564853</v>
      </c>
      <c r="P37" s="238"/>
      <c r="Q37" s="238"/>
      <c r="R37" s="238"/>
      <c r="S37" s="238"/>
      <c r="T37" s="238"/>
    </row>
    <row r="38" spans="2:20">
      <c r="B38" s="153" t="str">
        <f>IF(C38="E",YEAR(Dat_01!B$2)-2,"")</f>
        <v/>
      </c>
      <c r="C38" s="154" t="s">
        <v>87</v>
      </c>
      <c r="D38" s="150">
        <v>10172.0387333156</v>
      </c>
      <c r="E38" s="151">
        <v>18538.071</v>
      </c>
      <c r="F38" s="151">
        <v>10198.405590699997</v>
      </c>
      <c r="G38" s="151">
        <v>4538.6333860624027</v>
      </c>
      <c r="H38" s="151">
        <v>7534.5096632163304</v>
      </c>
      <c r="I38" s="152">
        <f t="shared" si="1"/>
        <v>54.871074413921491</v>
      </c>
      <c r="P38" s="238"/>
      <c r="Q38" s="238"/>
      <c r="R38" s="238"/>
      <c r="S38" s="238"/>
      <c r="T38" s="238"/>
    </row>
    <row r="39" spans="2:20">
      <c r="B39" s="153" t="str">
        <f>IF(C39="E",YEAR(Dat_01!B$2)-2,"")</f>
        <v/>
      </c>
      <c r="C39" s="154" t="s">
        <v>88</v>
      </c>
      <c r="D39" s="150">
        <v>9729.7201887363699</v>
      </c>
      <c r="E39" s="151">
        <v>18538.071</v>
      </c>
      <c r="F39" s="151">
        <v>11298.787227399998</v>
      </c>
      <c r="G39" s="151">
        <v>4803.1739069499999</v>
      </c>
      <c r="H39" s="151">
        <v>7935.87371500469</v>
      </c>
      <c r="I39" s="152">
        <f t="shared" si="1"/>
        <v>52.485073494088837</v>
      </c>
      <c r="P39" s="238"/>
      <c r="Q39" s="238"/>
      <c r="R39" s="238"/>
      <c r="S39" s="238"/>
      <c r="T39" s="238"/>
    </row>
    <row r="40" spans="2:20">
      <c r="B40" s="153" t="str">
        <f>IF(C40="E",YEAR(Dat_01!B$2)-2,"")</f>
        <v/>
      </c>
      <c r="C40" s="154" t="s">
        <v>89</v>
      </c>
      <c r="D40" s="150">
        <v>9697.9008206068702</v>
      </c>
      <c r="E40" s="151">
        <v>18538.071</v>
      </c>
      <c r="F40" s="151">
        <v>13090.208641149995</v>
      </c>
      <c r="G40" s="151">
        <v>5281.5086990000018</v>
      </c>
      <c r="H40" s="151">
        <v>8466.130292548356</v>
      </c>
      <c r="I40" s="152">
        <f t="shared" si="1"/>
        <v>52.313430133085959</v>
      </c>
      <c r="P40" s="238"/>
      <c r="Q40" s="238"/>
      <c r="R40" s="238"/>
      <c r="S40" s="238"/>
      <c r="T40" s="238"/>
    </row>
    <row r="41" spans="2:20">
      <c r="B41" s="153">
        <f>IF(C41="E",YEAR(Dat_01!B$2)-1,"")</f>
        <v>2025</v>
      </c>
      <c r="C41" s="154" t="s">
        <v>90</v>
      </c>
      <c r="D41" s="150">
        <v>10662.1502703717</v>
      </c>
      <c r="E41" s="151">
        <v>18538.071</v>
      </c>
      <c r="F41" s="151">
        <v>13050.214167650001</v>
      </c>
      <c r="G41" s="151">
        <v>5504.2420896999975</v>
      </c>
      <c r="H41" s="151">
        <v>9240.0485735656985</v>
      </c>
      <c r="I41" s="152">
        <f t="shared" si="1"/>
        <v>57.514885288613357</v>
      </c>
      <c r="P41" s="238"/>
      <c r="Q41" s="238"/>
      <c r="R41" s="238"/>
      <c r="S41" s="238"/>
      <c r="T41" s="238"/>
    </row>
    <row r="42" spans="2:20">
      <c r="B42" s="153" t="str">
        <f>IF(C42="E",YEAR(Dat_01!B$2)-1,"")</f>
        <v/>
      </c>
      <c r="C42" s="154" t="s">
        <v>82</v>
      </c>
      <c r="D42" s="150">
        <v>11118.121739063799</v>
      </c>
      <c r="E42" s="151">
        <v>18538.071</v>
      </c>
      <c r="F42" s="151">
        <v>13624.617678250001</v>
      </c>
      <c r="G42" s="151">
        <v>5651.4148640500007</v>
      </c>
      <c r="H42" s="151">
        <v>9933.6137851544518</v>
      </c>
      <c r="I42" s="152">
        <f t="shared" si="1"/>
        <v>59.974534238561283</v>
      </c>
      <c r="P42" s="238"/>
      <c r="Q42" s="238"/>
      <c r="R42" s="238"/>
      <c r="S42" s="238"/>
      <c r="T42" s="238"/>
    </row>
    <row r="43" spans="2:20">
      <c r="B43" s="153" t="str">
        <f>IF(C43="E",YEAR(Dat_01!B$2)-1,"")</f>
        <v/>
      </c>
      <c r="C43" s="154" t="s">
        <v>83</v>
      </c>
      <c r="D43" s="150">
        <v>13574.769505443999</v>
      </c>
      <c r="E43" s="151">
        <v>18538.071</v>
      </c>
      <c r="F43" s="151">
        <v>13992.496025999999</v>
      </c>
      <c r="G43" s="151">
        <v>6141.9985181999982</v>
      </c>
      <c r="H43" s="151">
        <v>10635.40697301189</v>
      </c>
      <c r="I43" s="152">
        <f t="shared" si="1"/>
        <v>73.226440363962354</v>
      </c>
      <c r="P43" s="238"/>
      <c r="Q43" s="238"/>
      <c r="R43" s="238"/>
      <c r="S43" s="238"/>
      <c r="T43" s="238"/>
    </row>
    <row r="44" spans="2:20">
      <c r="B44" s="153" t="str">
        <f>IF(C44="E",YEAR(Dat_01!B$2)-1,"")</f>
        <v/>
      </c>
      <c r="C44" s="154" t="s">
        <v>84</v>
      </c>
      <c r="D44" s="150">
        <v>14969.985800696601</v>
      </c>
      <c r="E44" s="151">
        <v>18538.071</v>
      </c>
      <c r="F44" s="151">
        <v>14145.338313449998</v>
      </c>
      <c r="G44" s="151">
        <v>7373.7900835712881</v>
      </c>
      <c r="H44" s="151">
        <v>11219.686175859746</v>
      </c>
      <c r="I44" s="152">
        <f t="shared" si="1"/>
        <v>80.752661917718413</v>
      </c>
      <c r="P44" s="238"/>
      <c r="Q44" s="238"/>
      <c r="R44" s="238"/>
      <c r="S44" s="238"/>
      <c r="T44" s="238"/>
    </row>
    <row r="45" spans="2:20">
      <c r="B45" s="153" t="str">
        <f>IF(C45="E",YEAR(Dat_01!B$2)-1,"")</f>
        <v/>
      </c>
      <c r="C45" s="154" t="s">
        <v>83</v>
      </c>
      <c r="D45" s="150">
        <v>15463.717740821099</v>
      </c>
      <c r="E45" s="151">
        <v>18538.071</v>
      </c>
      <c r="F45" s="151">
        <v>14312.444584950004</v>
      </c>
      <c r="G45" s="151">
        <v>7424.6635651085671</v>
      </c>
      <c r="H45" s="151">
        <v>11351.635380197906</v>
      </c>
      <c r="I45" s="152">
        <f t="shared" si="1"/>
        <v>83.416002349009773</v>
      </c>
      <c r="P45" s="238"/>
      <c r="Q45" s="238"/>
      <c r="R45" s="238"/>
      <c r="S45" s="238"/>
      <c r="T45" s="238"/>
    </row>
    <row r="46" spans="2:20">
      <c r="B46" s="153" t="str">
        <f>IF(C46="E",YEAR(Dat_01!B$2)-1,"")</f>
        <v/>
      </c>
      <c r="C46" s="154" t="s">
        <v>85</v>
      </c>
      <c r="D46" s="150">
        <v>14590.258003320499</v>
      </c>
      <c r="E46" s="151">
        <v>18538.071</v>
      </c>
      <c r="F46" s="151">
        <v>14091.073935750002</v>
      </c>
      <c r="G46" s="151">
        <v>6876.9333810580165</v>
      </c>
      <c r="H46" s="151">
        <v>10855.515463360101</v>
      </c>
      <c r="I46" s="152">
        <f t="shared" si="1"/>
        <v>78.704294547801112</v>
      </c>
      <c r="P46" s="238"/>
      <c r="Q46" s="238"/>
      <c r="R46" s="238"/>
      <c r="S46" s="238"/>
      <c r="T46" s="238"/>
    </row>
    <row r="47" spans="2:20">
      <c r="B47" s="153" t="str">
        <f>IF(C47="E",YEAR(Dat_01!B$2)-1,"")</f>
        <v/>
      </c>
      <c r="C47" s="154" t="s">
        <v>85</v>
      </c>
      <c r="D47" s="150">
        <v>13127.2878467726</v>
      </c>
      <c r="E47" s="151">
        <v>18538.071</v>
      </c>
      <c r="F47" s="151">
        <v>12713.374596749991</v>
      </c>
      <c r="G47" s="151">
        <v>6022.3486215133544</v>
      </c>
      <c r="H47" s="151">
        <v>9681.0422432915329</v>
      </c>
      <c r="I47" s="152">
        <f t="shared" si="1"/>
        <v>70.812588034497224</v>
      </c>
      <c r="P47" s="238"/>
      <c r="Q47" s="238"/>
      <c r="R47" s="238"/>
      <c r="S47" s="238"/>
      <c r="T47" s="238"/>
    </row>
    <row r="48" spans="2:20">
      <c r="B48" s="153" t="str">
        <f>IF(C48="E",YEAR(Dat_01!B$2)-1,"")</f>
        <v/>
      </c>
      <c r="C48" s="154" t="s">
        <v>84</v>
      </c>
      <c r="D48" s="150">
        <v>11592.3052743925</v>
      </c>
      <c r="E48" s="151">
        <v>18538.071</v>
      </c>
      <c r="F48" s="151">
        <v>11376.761694150005</v>
      </c>
      <c r="G48" s="151">
        <v>5259.3263517068171</v>
      </c>
      <c r="H48" s="151">
        <v>8548.0662227424091</v>
      </c>
      <c r="I48" s="152">
        <f t="shared" si="1"/>
        <v>62.532424621701466</v>
      </c>
      <c r="P48" s="238"/>
      <c r="Q48" s="238"/>
      <c r="R48" s="238"/>
      <c r="S48" s="238"/>
      <c r="T48" s="238"/>
    </row>
    <row r="49" spans="2:20">
      <c r="B49" s="153" t="str">
        <f>IF(C49="E",YEAR(Dat_01!B$2)-1,"")</f>
        <v/>
      </c>
      <c r="C49" s="154" t="s">
        <v>86</v>
      </c>
      <c r="D49" s="150">
        <v>10461.9403252879</v>
      </c>
      <c r="E49" s="151">
        <v>18538.071</v>
      </c>
      <c r="F49" s="151">
        <v>10575.696341999996</v>
      </c>
      <c r="G49" s="151">
        <v>4817.4903911540914</v>
      </c>
      <c r="H49" s="151">
        <v>7777.3659905532668</v>
      </c>
      <c r="I49" s="152">
        <f t="shared" si="1"/>
        <v>56.434891878922564</v>
      </c>
      <c r="P49" s="238"/>
      <c r="Q49" s="238"/>
      <c r="R49" s="238"/>
      <c r="S49" s="238"/>
      <c r="T49" s="238"/>
    </row>
    <row r="50" spans="2:20">
      <c r="B50" s="153" t="str">
        <f>IF(C50="E",YEAR(Dat_01!B$2)-1,"")</f>
        <v/>
      </c>
      <c r="C50" s="154" t="s">
        <v>87</v>
      </c>
      <c r="D50" s="150">
        <v>9269.4509272739197</v>
      </c>
      <c r="E50" s="151">
        <v>18538.071</v>
      </c>
      <c r="F50" s="151">
        <v>10270.347120749997</v>
      </c>
      <c r="G50" s="151">
        <v>4562.4955117624031</v>
      </c>
      <c r="H50" s="151">
        <v>7669.2419293821104</v>
      </c>
      <c r="I50" s="152">
        <f t="shared" si="1"/>
        <v>50.002240941217238</v>
      </c>
      <c r="P50" s="238"/>
      <c r="Q50" s="238"/>
      <c r="R50" s="238"/>
      <c r="S50" s="238"/>
      <c r="T50" s="238"/>
    </row>
    <row r="51" spans="2:20">
      <c r="B51" s="153" t="str">
        <f>IF(C51="E",YEAR(Dat_01!B$2)-1,"")</f>
        <v/>
      </c>
      <c r="C51" s="154" t="s">
        <v>88</v>
      </c>
      <c r="D51" s="295">
        <v>9715.8772375052595</v>
      </c>
      <c r="E51" s="151">
        <v>18538.071</v>
      </c>
      <c r="F51" s="151">
        <v>11324.092590299999</v>
      </c>
      <c r="G51" s="151">
        <v>4782.2479179999991</v>
      </c>
      <c r="H51" s="151">
        <v>8062.114649941509</v>
      </c>
      <c r="I51" s="152">
        <f t="shared" si="1"/>
        <v>52.410400399832646</v>
      </c>
      <c r="P51" s="238"/>
      <c r="Q51" s="238"/>
      <c r="R51" s="238"/>
      <c r="S51" s="238"/>
      <c r="T51" s="238"/>
    </row>
    <row r="52" spans="2:20">
      <c r="B52" s="153" t="str">
        <f>IF(C52="E",YEAR(Dat_01!B$2)-1,"")</f>
        <v/>
      </c>
      <c r="C52" s="154" t="s">
        <v>89</v>
      </c>
      <c r="D52" s="150">
        <v>9727.3064663853402</v>
      </c>
      <c r="E52" s="151">
        <v>18538.071</v>
      </c>
      <c r="F52" s="151">
        <v>13029.233675599995</v>
      </c>
      <c r="G52" s="151">
        <v>5256.7727983000023</v>
      </c>
      <c r="H52" s="151">
        <v>8582.1752510786991</v>
      </c>
      <c r="I52" s="152">
        <f t="shared" si="1"/>
        <v>52.472053140725052</v>
      </c>
      <c r="J52" s="125"/>
      <c r="K52" s="125"/>
      <c r="P52" s="238"/>
      <c r="Q52" s="238"/>
      <c r="R52" s="238"/>
      <c r="S52" s="238"/>
      <c r="T52" s="238"/>
    </row>
    <row r="53" spans="2:20">
      <c r="B53" s="153">
        <f>IF(C53="E",YEAR(Dat_01!B$2),"")</f>
        <v>2026</v>
      </c>
      <c r="C53" s="154" t="s">
        <v>90</v>
      </c>
      <c r="D53" s="150">
        <v>10759.7257365845</v>
      </c>
      <c r="E53" s="151">
        <v>18538.071</v>
      </c>
      <c r="F53" s="151">
        <v>13055.201383800002</v>
      </c>
      <c r="G53" s="151">
        <v>5513.3138866999971</v>
      </c>
      <c r="H53" s="151">
        <v>9387.5497485383858</v>
      </c>
      <c r="I53" s="152">
        <f t="shared" ref="I53" si="2">D53/E53*100</f>
        <v>58.041237066059892</v>
      </c>
      <c r="J53" s="125"/>
      <c r="K53" s="125"/>
    </row>
    <row r="54" spans="2:20">
      <c r="B54" s="153" t="str">
        <f>IF(C54="E",YEAR(Dat_01!B$2),"")</f>
        <v/>
      </c>
      <c r="C54" s="154" t="s">
        <v>82</v>
      </c>
      <c r="D54" s="150">
        <v>15394.489470935299</v>
      </c>
      <c r="E54" s="151">
        <v>18538.071</v>
      </c>
      <c r="F54" s="151">
        <v>13693.10012295</v>
      </c>
      <c r="G54" s="151">
        <v>5669.6033654000021</v>
      </c>
      <c r="H54" s="151">
        <v>10113.442127169708</v>
      </c>
      <c r="I54" s="152">
        <f t="shared" ref="I54" si="3">D54/E54*100</f>
        <v>83.042563980552771</v>
      </c>
      <c r="J54" s="125"/>
      <c r="K54" s="125"/>
    </row>
    <row r="55" spans="2:20">
      <c r="B55" s="153" t="str">
        <f>IF(C55="E",YEAR(Dat_01!B$2),"")</f>
        <v/>
      </c>
      <c r="C55" s="154" t="s">
        <v>83</v>
      </c>
      <c r="D55" s="150">
        <v>15166.1369514669</v>
      </c>
      <c r="E55" s="151">
        <v>18538.071</v>
      </c>
      <c r="F55" s="151">
        <v>14023.715478399998</v>
      </c>
      <c r="G55" s="151">
        <v>6205.8036205499984</v>
      </c>
      <c r="H55" s="151">
        <v>10933.860892813562</v>
      </c>
      <c r="I55" s="152">
        <f t="shared" ref="I55" si="4">D55/E55*100</f>
        <v>81.81076095493917</v>
      </c>
      <c r="J55" s="125"/>
      <c r="K55" s="125"/>
    </row>
    <row r="56" spans="2:20">
      <c r="B56" s="153" t="str">
        <f>IF(C56="E",YEAR(Dat_01!B$2),"")</f>
        <v/>
      </c>
      <c r="C56" s="154" t="s">
        <v>84</v>
      </c>
      <c r="D56" s="150">
        <v>15285.430259717399</v>
      </c>
      <c r="E56" s="151">
        <v>18538.071</v>
      </c>
      <c r="F56" s="151">
        <v>14221.481717984827</v>
      </c>
      <c r="G56" s="151">
        <v>7427.0984314283833</v>
      </c>
      <c r="H56" s="151">
        <v>11560.728199311136</v>
      </c>
      <c r="I56" s="152">
        <f t="shared" ref="I56" si="5">D56/E56*100</f>
        <v>82.454265385634784</v>
      </c>
      <c r="J56" s="125"/>
      <c r="K56" s="125"/>
    </row>
    <row r="57" spans="2:20">
      <c r="B57" s="153" t="str">
        <f>IF(C57="E",YEAR(Dat_01!B$2),"")</f>
        <v/>
      </c>
      <c r="C57" s="154" t="s">
        <v>83</v>
      </c>
      <c r="D57" s="150">
        <v>15302.1163131225</v>
      </c>
      <c r="E57" s="151">
        <v>18538.071</v>
      </c>
      <c r="F57" s="151">
        <v>14398.126186991058</v>
      </c>
      <c r="G57" s="151">
        <v>7474.4928461447562</v>
      </c>
      <c r="H57" s="151">
        <v>11713.368406964093</v>
      </c>
      <c r="I57" s="152">
        <f t="shared" ref="I57" si="6">D57/E57*100</f>
        <v>82.544275038770223</v>
      </c>
      <c r="J57" s="125"/>
      <c r="K57" s="125"/>
    </row>
    <row r="58" spans="2:20">
      <c r="B58" s="153" t="str">
        <f>IF(C58="E",YEAR(Dat_01!B$2),"")</f>
        <v/>
      </c>
      <c r="C58" s="154" t="s">
        <v>85</v>
      </c>
      <c r="D58" s="150">
        <v>14187.375105708999</v>
      </c>
      <c r="E58" s="151">
        <v>18538.071</v>
      </c>
      <c r="F58" s="151">
        <v>14159.076845916028</v>
      </c>
      <c r="G58" s="151">
        <v>6929.146560627707</v>
      </c>
      <c r="H58" s="151">
        <v>11207.999591976655</v>
      </c>
      <c r="I58" s="152">
        <f t="shared" ref="I58" si="7">D58/E58*100</f>
        <v>76.531021516256999</v>
      </c>
      <c r="J58" s="125">
        <f>I58-I57</f>
        <v>-6.0132535225132244</v>
      </c>
      <c r="K58" s="125">
        <f>I58-I46</f>
        <v>-2.1732730315441131</v>
      </c>
    </row>
    <row r="59" spans="2:20">
      <c r="B59" s="153" t="str">
        <f>IF(C59="E",YEAR(Dat_01!B$2),"")</f>
        <v/>
      </c>
      <c r="C59" s="154" t="s">
        <v>85</v>
      </c>
      <c r="D59" s="150"/>
      <c r="E59" s="151">
        <v>18538.071</v>
      </c>
      <c r="F59" s="151">
        <v>12790.69365908862</v>
      </c>
      <c r="G59" s="151">
        <v>6075.9397220225319</v>
      </c>
      <c r="H59" s="151">
        <v>10004.430496346473</v>
      </c>
      <c r="I59" s="152"/>
      <c r="J59" s="125"/>
      <c r="K59" s="125"/>
    </row>
    <row r="60" spans="2:20">
      <c r="B60" s="153" t="str">
        <f>IF(C60="E",YEAR(Dat_01!B$2),"")</f>
        <v/>
      </c>
      <c r="C60" s="154" t="s">
        <v>84</v>
      </c>
      <c r="D60" s="150"/>
      <c r="E60" s="151">
        <v>18538.071</v>
      </c>
      <c r="F60" s="151">
        <v>11450.438130100005</v>
      </c>
      <c r="G60" s="151">
        <v>5304.9622550403501</v>
      </c>
      <c r="H60" s="151">
        <v>8837.0421055040006</v>
      </c>
      <c r="I60" s="152"/>
      <c r="J60" s="125"/>
      <c r="K60" s="125"/>
    </row>
    <row r="61" spans="2:20">
      <c r="B61" s="153" t="str">
        <f>IF(C61="E",YEAR(Dat_01!B$2),"")</f>
        <v/>
      </c>
      <c r="C61" s="154" t="s">
        <v>86</v>
      </c>
      <c r="D61" s="150"/>
      <c r="E61" s="151">
        <v>18538.071</v>
      </c>
      <c r="F61" s="151">
        <v>10647.438078799994</v>
      </c>
      <c r="G61" s="151">
        <v>4833.4528166796608</v>
      </c>
      <c r="H61" s="151">
        <v>8031.6559760289692</v>
      </c>
      <c r="I61" s="152"/>
      <c r="J61" s="125"/>
      <c r="K61" s="125"/>
    </row>
    <row r="62" spans="2:20">
      <c r="B62" s="153" t="str">
        <f>IF(C62="E",YEAR(Dat_01!B$2),"")</f>
        <v/>
      </c>
      <c r="C62" s="154" t="s">
        <v>87</v>
      </c>
      <c r="D62" s="150"/>
      <c r="E62" s="151">
        <v>18538.071</v>
      </c>
      <c r="F62" s="151">
        <v>10342.288650799997</v>
      </c>
      <c r="G62" s="151">
        <v>4586.3576374624035</v>
      </c>
      <c r="H62" s="151">
        <v>7850.7732426646035</v>
      </c>
      <c r="I62" s="152"/>
      <c r="J62" s="125"/>
      <c r="K62" s="125"/>
    </row>
    <row r="63" spans="2:20">
      <c r="B63" s="153" t="str">
        <f>IF(C63="E",YEAR(Dat_01!B$2),"")</f>
        <v/>
      </c>
      <c r="C63" s="154" t="s">
        <v>88</v>
      </c>
      <c r="D63" s="295"/>
      <c r="E63" s="151">
        <v>18538.071</v>
      </c>
      <c r="F63" s="151">
        <v>11349.397953199998</v>
      </c>
      <c r="G63" s="151">
        <v>4761.3219290500001</v>
      </c>
      <c r="H63" s="151">
        <v>8242.684402668152</v>
      </c>
      <c r="I63" s="152"/>
      <c r="J63" s="125"/>
      <c r="K63" s="125"/>
    </row>
    <row r="64" spans="2:20">
      <c r="B64" s="153" t="str">
        <f>IF(C64="E",YEAR(Dat_01!B$2),"")</f>
        <v/>
      </c>
      <c r="C64" s="154" t="s">
        <v>89</v>
      </c>
      <c r="D64" s="150"/>
      <c r="E64" s="151">
        <v>18538.071</v>
      </c>
      <c r="F64" s="151">
        <v>12968.258710049995</v>
      </c>
      <c r="G64" s="151">
        <v>5232.0368976000027</v>
      </c>
      <c r="H64" s="151">
        <v>8735.6141096297906</v>
      </c>
      <c r="I64" s="152"/>
      <c r="J64" s="125"/>
      <c r="K64" s="125"/>
    </row>
    <row r="65" spans="2:11">
      <c r="B65" s="153"/>
      <c r="C65" s="154"/>
      <c r="D65" s="151"/>
      <c r="E65" s="151"/>
      <c r="F65" s="151"/>
      <c r="G65" s="151"/>
      <c r="H65" s="151"/>
      <c r="I65" s="152"/>
      <c r="J65" s="125"/>
    </row>
    <row r="67" spans="2:11">
      <c r="B67" s="210" t="str">
        <f>CONCATENATE("Reservas hidroeléctricas a ",TEXT(DATEVALUE(MID(Dat_01!B2,1,10)),"dd")," de ",TEXT(DATEVALUE(MID(Dat_01!B2,1,10)),"mmmm")," de ",TEXT(DATEVALUE(MID(Dat_01!B2,1,10)),"aaaa")," por cuencas")</f>
        <v>Reservas hidroeléctricas a 30 de junio de 2026 por cuencas</v>
      </c>
      <c r="C67" s="211"/>
      <c r="D67" s="211"/>
      <c r="E67" s="211"/>
      <c r="F67" s="211"/>
      <c r="G67" s="115"/>
      <c r="H67" s="115"/>
    </row>
    <row r="68" spans="2:11">
      <c r="B68" s="116"/>
      <c r="C68" s="353" t="s">
        <v>51</v>
      </c>
      <c r="D68" s="353" t="s">
        <v>51</v>
      </c>
      <c r="E68" s="116"/>
      <c r="F68" s="353" t="s">
        <v>40</v>
      </c>
      <c r="G68" s="353"/>
      <c r="H68" s="353" t="s">
        <v>41</v>
      </c>
      <c r="I68" s="353"/>
      <c r="J68" s="353" t="s">
        <v>42</v>
      </c>
      <c r="K68" s="353"/>
    </row>
    <row r="69" spans="2:11">
      <c r="B69" s="117"/>
      <c r="C69" s="118" t="s">
        <v>40</v>
      </c>
      <c r="D69" s="118" t="s">
        <v>41</v>
      </c>
      <c r="E69" s="118" t="s">
        <v>77</v>
      </c>
      <c r="F69" s="119" t="s">
        <v>38</v>
      </c>
      <c r="G69" s="118" t="s">
        <v>43</v>
      </c>
      <c r="H69" s="119" t="s">
        <v>38</v>
      </c>
      <c r="I69" s="118" t="s">
        <v>43</v>
      </c>
      <c r="J69" s="119" t="s">
        <v>38</v>
      </c>
      <c r="K69" s="118" t="s">
        <v>43</v>
      </c>
    </row>
    <row r="70" spans="2:11">
      <c r="B70" s="120" t="s">
        <v>44</v>
      </c>
      <c r="C70" s="121">
        <v>2546.8180000000002</v>
      </c>
      <c r="D70" s="121">
        <v>909.476</v>
      </c>
      <c r="E70" s="212">
        <v>5251.6483900000003</v>
      </c>
      <c r="F70" s="213">
        <f>G70/C70</f>
        <v>0.72685419256036132</v>
      </c>
      <c r="G70" s="212">
        <v>1851.1653409881944</v>
      </c>
      <c r="H70" s="213">
        <f>I70/D70</f>
        <v>0.80316742081448078</v>
      </c>
      <c r="I70" s="212">
        <v>730.46149321267069</v>
      </c>
      <c r="J70" s="143">
        <f>K70/SUM(C70:D70)</f>
        <v>0.7469349639240368</v>
      </c>
      <c r="K70" s="212">
        <f>SUM(G70,I70)</f>
        <v>2581.6268342008652</v>
      </c>
    </row>
    <row r="71" spans="2:11">
      <c r="B71" s="120" t="s">
        <v>45</v>
      </c>
      <c r="C71" s="121">
        <v>1681</v>
      </c>
      <c r="D71" s="121">
        <v>3120.6</v>
      </c>
      <c r="E71" s="212">
        <v>4077.2949000000003</v>
      </c>
      <c r="F71" s="213">
        <f>G71/C71</f>
        <v>0.63899101317641105</v>
      </c>
      <c r="G71" s="212">
        <v>1074.143893149547</v>
      </c>
      <c r="H71" s="213">
        <f>I71/D71</f>
        <v>0.94739756367663541</v>
      </c>
      <c r="I71" s="212">
        <v>2956.4488372093083</v>
      </c>
      <c r="J71" s="143">
        <f t="shared" ref="J71:J75" si="8">K71/SUM(C71:D71)</f>
        <v>0.83942700982148755</v>
      </c>
      <c r="K71" s="212">
        <f t="shared" ref="K71:K75" si="9">SUM(G71,I71)</f>
        <v>4030.5927303588551</v>
      </c>
    </row>
    <row r="72" spans="2:11">
      <c r="B72" s="120" t="s">
        <v>46</v>
      </c>
      <c r="C72" s="121">
        <v>2424.9229999999998</v>
      </c>
      <c r="D72" s="121">
        <v>3791.8719999999998</v>
      </c>
      <c r="E72" s="212">
        <v>3556.7244000000001</v>
      </c>
      <c r="F72" s="213">
        <f>G72/C72</f>
        <v>0.73629490640086581</v>
      </c>
      <c r="G72" s="212">
        <v>1785.4584533143066</v>
      </c>
      <c r="H72" s="213">
        <f t="shared" ref="H72:H75" si="10">I72/D72</f>
        <v>0.6445793176957868</v>
      </c>
      <c r="I72" s="212">
        <v>2444.1622665497584</v>
      </c>
      <c r="J72" s="143">
        <f t="shared" si="8"/>
        <v>0.68035389937484914</v>
      </c>
      <c r="K72" s="212">
        <f t="shared" si="9"/>
        <v>4229.620719864065</v>
      </c>
    </row>
    <row r="73" spans="2:11">
      <c r="B73" s="120" t="s">
        <v>47</v>
      </c>
      <c r="C73" s="121"/>
      <c r="D73" s="121">
        <v>835.14400000000001</v>
      </c>
      <c r="E73" s="212">
        <v>195.78800000000001</v>
      </c>
      <c r="F73" s="213" t="s">
        <v>18</v>
      </c>
      <c r="G73" s="212" t="s">
        <v>18</v>
      </c>
      <c r="H73" s="213">
        <f t="shared" si="10"/>
        <v>0.94071262947229251</v>
      </c>
      <c r="I73" s="212">
        <v>785.63050822800824</v>
      </c>
      <c r="J73" s="143">
        <f t="shared" si="8"/>
        <v>0.94071262947229251</v>
      </c>
      <c r="K73" s="212">
        <f t="shared" si="9"/>
        <v>785.63050822800824</v>
      </c>
    </row>
    <row r="74" spans="2:11">
      <c r="B74" s="120" t="s">
        <v>48</v>
      </c>
      <c r="C74" s="121">
        <v>180.3</v>
      </c>
      <c r="D74" s="121">
        <v>669.1</v>
      </c>
      <c r="E74" s="212">
        <v>604.78800000000001</v>
      </c>
      <c r="F74" s="213">
        <f>G74/C74</f>
        <v>0.96471371252751914</v>
      </c>
      <c r="G74" s="212">
        <v>173.93788236871171</v>
      </c>
      <c r="H74" s="213">
        <f t="shared" si="10"/>
        <v>0.80702591075375696</v>
      </c>
      <c r="I74" s="212">
        <v>539.98103688533877</v>
      </c>
      <c r="J74" s="143">
        <f t="shared" si="8"/>
        <v>0.84049790352490039</v>
      </c>
      <c r="K74" s="212">
        <f>SUM(G74,I74)</f>
        <v>713.91891925405048</v>
      </c>
    </row>
    <row r="75" spans="2:11">
      <c r="B75" s="120" t="s">
        <v>49</v>
      </c>
      <c r="C75" s="121">
        <v>2133.8380000000002</v>
      </c>
      <c r="D75" s="121">
        <v>245</v>
      </c>
      <c r="E75" s="212">
        <v>3389.5608400000001</v>
      </c>
      <c r="F75" s="213">
        <f>G75/C75</f>
        <v>0.76678546323024765</v>
      </c>
      <c r="G75" s="212">
        <v>1636.1959592883054</v>
      </c>
      <c r="H75" s="213">
        <f t="shared" si="10"/>
        <v>0.85628340618295229</v>
      </c>
      <c r="I75" s="212">
        <v>209.78943451482331</v>
      </c>
      <c r="J75" s="143">
        <f t="shared" si="8"/>
        <v>0.7760029870899694</v>
      </c>
      <c r="K75" s="212">
        <f t="shared" si="9"/>
        <v>1845.9853938031288</v>
      </c>
    </row>
    <row r="76" spans="2:11">
      <c r="B76" s="117" t="s">
        <v>50</v>
      </c>
      <c r="C76" s="122">
        <f>SUM(C70:C75)</f>
        <v>8966.8790000000008</v>
      </c>
      <c r="D76" s="122">
        <f>SUM(D70:D75)</f>
        <v>9571.1920000000009</v>
      </c>
      <c r="E76" s="122">
        <f>SUM(E70:E75)</f>
        <v>17075.804530000001</v>
      </c>
      <c r="F76" s="214">
        <f>G76/C76</f>
        <v>0.72722086794179608</v>
      </c>
      <c r="G76" s="122">
        <f>SUM(G70:G75)</f>
        <v>6520.9015291090655</v>
      </c>
      <c r="H76" s="214">
        <f>I76/D76</f>
        <v>0.80099464900504624</v>
      </c>
      <c r="I76" s="122">
        <f>SUM(I70:I75)</f>
        <v>7666.4735765999076</v>
      </c>
      <c r="J76" s="144">
        <f>ROUND(K76/SUM(C76:D76),4)</f>
        <v>0.76529999999999998</v>
      </c>
      <c r="K76" s="122">
        <f>SUM(K70:K75)</f>
        <v>14187.375105708974</v>
      </c>
    </row>
    <row r="79" spans="2:11">
      <c r="B79" s="104" t="str">
        <f>TEXT(CONCATENATE(TEXT(Dat_01!B2,"dd de mm de aaaa")),"@")</f>
        <v>30 302026 06 302026 2026</v>
      </c>
    </row>
    <row r="80" spans="2:11">
      <c r="B80" s="192" t="str">
        <f>CONCATENATE("Reservas hidroeléctricas a ",TEXT(DATEVALUE(MID(Dat_01!B2,1,10)),"dd")," de ",TEXT(DATEVALUE(MID(Dat_01!B2,1,10)),"mmmm")," de ",TEXT(DATEVALUE(MID(Dat_01!B2,1,10)),"aaaa")," por cuencas")</f>
        <v>Reservas hidroeléctricas a 30 de junio de 2026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804"/>
  <sheetViews>
    <sheetView topLeftCell="A733" workbookViewId="0">
      <selection activeCell="A762" sqref="A762:H762"/>
    </sheetView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1" width="11.42578125" style="232"/>
    <col min="22" max="22" width="11.42578125" style="232" customWidth="1"/>
    <col min="23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31" t="s">
        <v>158</v>
      </c>
      <c r="D1" s="260" t="s">
        <v>185</v>
      </c>
    </row>
    <row r="2" spans="1:9">
      <c r="A2" s="232">
        <v>0</v>
      </c>
      <c r="B2" s="233">
        <v>45444</v>
      </c>
      <c r="C2" s="234">
        <v>259.83351999999996</v>
      </c>
      <c r="D2" s="235">
        <v>129.02325388424765</v>
      </c>
      <c r="E2" s="234">
        <f>IF(C2&gt;D2,D2,C2)</f>
        <v>129.02325388424765</v>
      </c>
      <c r="F2" s="237">
        <f>YEAR(B2)</f>
        <v>2024</v>
      </c>
      <c r="G2" s="188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45445</v>
      </c>
      <c r="C3" s="234">
        <v>224.0539</v>
      </c>
      <c r="D3" s="235">
        <v>129.02325388424765</v>
      </c>
      <c r="E3" s="234">
        <f t="shared" ref="E3:E66" si="0">IF(C3&gt;D3,D3,C3)</f>
        <v>129.02325388424765</v>
      </c>
      <c r="F3" s="239"/>
      <c r="G3" s="188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:H66" si="2">IF(DAY($B3)=15,TEXT(D3,"#,0"),"")</f>
        <v/>
      </c>
      <c r="I3" s="237"/>
    </row>
    <row r="4" spans="1:9">
      <c r="A4" s="232">
        <f t="shared" ref="A4:A67" si="3">+A3+1</f>
        <v>2</v>
      </c>
      <c r="B4" s="233">
        <v>45446</v>
      </c>
      <c r="C4" s="234">
        <v>186.4083</v>
      </c>
      <c r="D4" s="235">
        <v>129.02325388424765</v>
      </c>
      <c r="E4" s="234">
        <f t="shared" si="0"/>
        <v>129.02325388424765</v>
      </c>
      <c r="F4" s="239"/>
      <c r="G4" s="188" t="str">
        <f t="shared" si="1"/>
        <v/>
      </c>
      <c r="H4" s="236" t="str">
        <f t="shared" si="2"/>
        <v/>
      </c>
      <c r="I4" s="237"/>
    </row>
    <row r="5" spans="1:9">
      <c r="A5" s="232">
        <f t="shared" si="3"/>
        <v>3</v>
      </c>
      <c r="B5" s="233">
        <v>45447</v>
      </c>
      <c r="C5" s="234">
        <v>66.230172999999994</v>
      </c>
      <c r="D5" s="235">
        <v>129.02325388424765</v>
      </c>
      <c r="E5" s="234">
        <f t="shared" si="0"/>
        <v>66.230172999999994</v>
      </c>
      <c r="F5" s="239"/>
      <c r="G5" s="188" t="str">
        <f t="shared" si="1"/>
        <v/>
      </c>
      <c r="H5" s="236" t="str">
        <f t="shared" si="2"/>
        <v/>
      </c>
      <c r="I5" s="237"/>
    </row>
    <row r="6" spans="1:9">
      <c r="A6" s="232">
        <f t="shared" si="3"/>
        <v>4</v>
      </c>
      <c r="B6" s="233">
        <v>45448</v>
      </c>
      <c r="C6" s="234">
        <v>69.742851999999999</v>
      </c>
      <c r="D6" s="235">
        <v>129.02325388424765</v>
      </c>
      <c r="E6" s="234">
        <f t="shared" si="0"/>
        <v>69.742851999999999</v>
      </c>
      <c r="F6" s="239"/>
      <c r="G6" s="188" t="str">
        <f t="shared" si="1"/>
        <v/>
      </c>
      <c r="H6" s="236" t="str">
        <f t="shared" si="2"/>
        <v/>
      </c>
      <c r="I6" s="237"/>
    </row>
    <row r="7" spans="1:9">
      <c r="A7" s="232">
        <f t="shared" si="3"/>
        <v>5</v>
      </c>
      <c r="B7" s="233">
        <v>45449</v>
      </c>
      <c r="C7" s="234">
        <v>157.81811300000001</v>
      </c>
      <c r="D7" s="235">
        <v>129.02325388424765</v>
      </c>
      <c r="E7" s="234">
        <f t="shared" si="0"/>
        <v>129.02325388424765</v>
      </c>
      <c r="F7" s="239"/>
      <c r="G7" s="188" t="str">
        <f t="shared" si="1"/>
        <v/>
      </c>
      <c r="H7" s="236" t="str">
        <f t="shared" si="2"/>
        <v/>
      </c>
      <c r="I7" s="237"/>
    </row>
    <row r="8" spans="1:9">
      <c r="A8" s="232">
        <f t="shared" si="3"/>
        <v>6</v>
      </c>
      <c r="B8" s="233">
        <v>45450</v>
      </c>
      <c r="C8" s="234">
        <v>202.68652</v>
      </c>
      <c r="D8" s="235">
        <v>129.02325388424765</v>
      </c>
      <c r="E8" s="234">
        <f t="shared" si="0"/>
        <v>129.02325388424765</v>
      </c>
      <c r="F8" s="239"/>
      <c r="G8" s="188" t="str">
        <f t="shared" si="1"/>
        <v/>
      </c>
      <c r="H8" s="236" t="str">
        <f t="shared" si="2"/>
        <v/>
      </c>
      <c r="I8" s="237"/>
    </row>
    <row r="9" spans="1:9">
      <c r="A9" s="232">
        <f t="shared" si="3"/>
        <v>7</v>
      </c>
      <c r="B9" s="233">
        <v>45451</v>
      </c>
      <c r="C9" s="234">
        <v>166.63429199999999</v>
      </c>
      <c r="D9" s="235">
        <v>129.02325388424765</v>
      </c>
      <c r="E9" s="234">
        <f t="shared" si="0"/>
        <v>129.02325388424765</v>
      </c>
      <c r="F9" s="239"/>
      <c r="G9" s="188" t="str">
        <f t="shared" si="1"/>
        <v/>
      </c>
      <c r="H9" s="236" t="str">
        <f t="shared" si="2"/>
        <v/>
      </c>
      <c r="I9" s="237"/>
    </row>
    <row r="10" spans="1:9">
      <c r="A10" s="232">
        <f t="shared" si="3"/>
        <v>8</v>
      </c>
      <c r="B10" s="233">
        <v>45452</v>
      </c>
      <c r="C10" s="234">
        <v>241.083168</v>
      </c>
      <c r="D10" s="235">
        <v>129.02325388424765</v>
      </c>
      <c r="E10" s="234">
        <f t="shared" si="0"/>
        <v>129.02325388424765</v>
      </c>
      <c r="F10" s="239"/>
      <c r="G10" s="188" t="str">
        <f t="shared" si="1"/>
        <v/>
      </c>
      <c r="H10" s="236" t="str">
        <f t="shared" si="2"/>
        <v/>
      </c>
      <c r="I10" s="237"/>
    </row>
    <row r="11" spans="1:9">
      <c r="A11" s="232">
        <f t="shared" si="3"/>
        <v>9</v>
      </c>
      <c r="B11" s="233">
        <v>45453</v>
      </c>
      <c r="C11" s="234">
        <v>220.85818700000002</v>
      </c>
      <c r="D11" s="235">
        <v>129.02325388424765</v>
      </c>
      <c r="E11" s="234">
        <f t="shared" si="0"/>
        <v>129.02325388424765</v>
      </c>
      <c r="F11" s="239"/>
      <c r="G11" s="188" t="str">
        <f t="shared" si="1"/>
        <v/>
      </c>
      <c r="H11" s="236" t="str">
        <f t="shared" si="2"/>
        <v/>
      </c>
      <c r="I11" s="237"/>
    </row>
    <row r="12" spans="1:9">
      <c r="A12" s="232">
        <f t="shared" si="3"/>
        <v>10</v>
      </c>
      <c r="B12" s="233">
        <v>45454</v>
      </c>
      <c r="C12" s="234">
        <v>177.21823799999999</v>
      </c>
      <c r="D12" s="235">
        <v>129.02325388424765</v>
      </c>
      <c r="E12" s="234">
        <f t="shared" si="0"/>
        <v>129.02325388424765</v>
      </c>
      <c r="F12" s="239"/>
      <c r="G12" s="188" t="str">
        <f t="shared" si="1"/>
        <v/>
      </c>
      <c r="H12" s="236" t="str">
        <f t="shared" si="2"/>
        <v/>
      </c>
      <c r="I12" s="237"/>
    </row>
    <row r="13" spans="1:9">
      <c r="A13" s="232">
        <f t="shared" si="3"/>
        <v>11</v>
      </c>
      <c r="B13" s="233">
        <v>45455</v>
      </c>
      <c r="C13" s="234">
        <v>178.976552</v>
      </c>
      <c r="D13" s="235">
        <v>129.02325388424765</v>
      </c>
      <c r="E13" s="234">
        <f t="shared" si="0"/>
        <v>129.02325388424765</v>
      </c>
      <c r="F13" s="239"/>
      <c r="G13" s="188" t="str">
        <f t="shared" si="1"/>
        <v/>
      </c>
      <c r="H13" s="236" t="str">
        <f t="shared" si="2"/>
        <v/>
      </c>
      <c r="I13" s="237"/>
    </row>
    <row r="14" spans="1:9">
      <c r="A14" s="232">
        <f t="shared" si="3"/>
        <v>12</v>
      </c>
      <c r="B14" s="233">
        <v>45456</v>
      </c>
      <c r="C14" s="234">
        <v>100.22699300000001</v>
      </c>
      <c r="D14" s="235">
        <v>129.02325388424765</v>
      </c>
      <c r="E14" s="234">
        <f t="shared" si="0"/>
        <v>100.22699300000001</v>
      </c>
      <c r="F14" s="239"/>
      <c r="G14" s="188" t="str">
        <f t="shared" si="1"/>
        <v/>
      </c>
      <c r="H14" s="236" t="str">
        <f t="shared" si="2"/>
        <v/>
      </c>
      <c r="I14" s="237"/>
    </row>
    <row r="15" spans="1:9">
      <c r="A15" s="232">
        <f t="shared" si="3"/>
        <v>13</v>
      </c>
      <c r="B15" s="233">
        <v>45457</v>
      </c>
      <c r="C15" s="234">
        <v>152.37786499999999</v>
      </c>
      <c r="D15" s="235">
        <v>129.02325388424765</v>
      </c>
      <c r="E15" s="234">
        <f t="shared" si="0"/>
        <v>129.02325388424765</v>
      </c>
      <c r="F15" s="239"/>
      <c r="G15" s="188" t="str">
        <f t="shared" si="1"/>
        <v/>
      </c>
      <c r="H15" s="236" t="str">
        <f t="shared" si="2"/>
        <v/>
      </c>
      <c r="I15" s="237"/>
    </row>
    <row r="16" spans="1:9">
      <c r="A16" s="232">
        <f t="shared" si="3"/>
        <v>14</v>
      </c>
      <c r="B16" s="233">
        <v>45458</v>
      </c>
      <c r="C16" s="234">
        <v>130.59935200000001</v>
      </c>
      <c r="D16" s="235">
        <v>129.02325388424765</v>
      </c>
      <c r="E16" s="234">
        <f t="shared" si="0"/>
        <v>129.02325388424765</v>
      </c>
      <c r="F16" s="239"/>
      <c r="G16" s="188" t="str">
        <f t="shared" si="1"/>
        <v>J</v>
      </c>
      <c r="H16" s="236" t="str">
        <f t="shared" si="2"/>
        <v>129,0</v>
      </c>
      <c r="I16" s="237"/>
    </row>
    <row r="17" spans="1:9">
      <c r="A17" s="232">
        <f t="shared" si="3"/>
        <v>15</v>
      </c>
      <c r="B17" s="233">
        <v>45459</v>
      </c>
      <c r="C17" s="234">
        <v>93.94324499999999</v>
      </c>
      <c r="D17" s="235">
        <v>129.02325388424765</v>
      </c>
      <c r="E17" s="234">
        <f t="shared" si="0"/>
        <v>93.94324499999999</v>
      </c>
      <c r="F17" s="239"/>
      <c r="G17" s="188" t="str">
        <f t="shared" si="1"/>
        <v/>
      </c>
      <c r="H17" s="236" t="str">
        <f t="shared" si="2"/>
        <v/>
      </c>
      <c r="I17" s="188"/>
    </row>
    <row r="18" spans="1:9">
      <c r="A18" s="232">
        <f t="shared" si="3"/>
        <v>16</v>
      </c>
      <c r="B18" s="233">
        <v>45460</v>
      </c>
      <c r="C18" s="234">
        <v>140.66970200000003</v>
      </c>
      <c r="D18" s="235">
        <v>129.02325388424765</v>
      </c>
      <c r="E18" s="234">
        <f t="shared" si="0"/>
        <v>129.02325388424765</v>
      </c>
      <c r="F18" s="239"/>
      <c r="G18" s="188" t="str">
        <f t="shared" si="1"/>
        <v/>
      </c>
      <c r="H18" s="236" t="str">
        <f t="shared" si="2"/>
        <v/>
      </c>
      <c r="I18" s="237"/>
    </row>
    <row r="19" spans="1:9">
      <c r="A19" s="232">
        <f t="shared" si="3"/>
        <v>17</v>
      </c>
      <c r="B19" s="233">
        <v>45461</v>
      </c>
      <c r="C19" s="234">
        <v>132.59820000000002</v>
      </c>
      <c r="D19" s="235">
        <v>129.02325388424765</v>
      </c>
      <c r="E19" s="234">
        <f t="shared" si="0"/>
        <v>129.02325388424765</v>
      </c>
      <c r="F19" s="239"/>
      <c r="G19" s="188" t="str">
        <f t="shared" si="1"/>
        <v/>
      </c>
      <c r="H19" s="236" t="str">
        <f t="shared" si="2"/>
        <v/>
      </c>
      <c r="I19" s="237"/>
    </row>
    <row r="20" spans="1:9">
      <c r="A20" s="232">
        <f t="shared" si="3"/>
        <v>18</v>
      </c>
      <c r="B20" s="233">
        <v>45462</v>
      </c>
      <c r="C20" s="234">
        <v>93.237751999999986</v>
      </c>
      <c r="D20" s="235">
        <v>129.02325388424765</v>
      </c>
      <c r="E20" s="234">
        <f t="shared" si="0"/>
        <v>93.237751999999986</v>
      </c>
      <c r="F20" s="239"/>
      <c r="G20" s="188" t="str">
        <f t="shared" si="1"/>
        <v/>
      </c>
      <c r="H20" s="236" t="str">
        <f t="shared" si="2"/>
        <v/>
      </c>
      <c r="I20" s="237"/>
    </row>
    <row r="21" spans="1:9">
      <c r="A21" s="232">
        <f t="shared" si="3"/>
        <v>19</v>
      </c>
      <c r="B21" s="233">
        <v>45463</v>
      </c>
      <c r="C21" s="234">
        <v>138.92069900000001</v>
      </c>
      <c r="D21" s="235">
        <v>129.02325388424765</v>
      </c>
      <c r="E21" s="234">
        <f t="shared" si="0"/>
        <v>129.02325388424765</v>
      </c>
      <c r="F21" s="239"/>
      <c r="G21" s="188" t="str">
        <f t="shared" si="1"/>
        <v/>
      </c>
      <c r="H21" s="236" t="str">
        <f t="shared" si="2"/>
        <v/>
      </c>
      <c r="I21" s="237"/>
    </row>
    <row r="22" spans="1:9">
      <c r="A22" s="232">
        <f t="shared" si="3"/>
        <v>20</v>
      </c>
      <c r="B22" s="233">
        <v>45464</v>
      </c>
      <c r="C22" s="234">
        <v>73.637070000000008</v>
      </c>
      <c r="D22" s="235">
        <v>129.02325388424765</v>
      </c>
      <c r="E22" s="234">
        <f t="shared" si="0"/>
        <v>73.637070000000008</v>
      </c>
      <c r="F22" s="239"/>
      <c r="G22" s="188" t="str">
        <f t="shared" si="1"/>
        <v/>
      </c>
      <c r="H22" s="236" t="str">
        <f t="shared" si="2"/>
        <v/>
      </c>
      <c r="I22" s="237"/>
    </row>
    <row r="23" spans="1:9">
      <c r="A23" s="232">
        <f t="shared" si="3"/>
        <v>21</v>
      </c>
      <c r="B23" s="233">
        <v>45465</v>
      </c>
      <c r="C23" s="234">
        <v>103.73947600000001</v>
      </c>
      <c r="D23" s="235">
        <v>129.02325388424765</v>
      </c>
      <c r="E23" s="234">
        <f t="shared" si="0"/>
        <v>103.73947600000001</v>
      </c>
      <c r="F23" s="239"/>
      <c r="G23" s="188" t="str">
        <f t="shared" si="1"/>
        <v/>
      </c>
      <c r="H23" s="236" t="str">
        <f t="shared" si="2"/>
        <v/>
      </c>
      <c r="I23" s="237"/>
    </row>
    <row r="24" spans="1:9">
      <c r="A24" s="232">
        <f t="shared" si="3"/>
        <v>22</v>
      </c>
      <c r="B24" s="233">
        <v>45466</v>
      </c>
      <c r="C24" s="234">
        <v>148.17534900000001</v>
      </c>
      <c r="D24" s="235">
        <v>129.02325388424765</v>
      </c>
      <c r="E24" s="234">
        <f t="shared" si="0"/>
        <v>129.02325388424765</v>
      </c>
      <c r="F24" s="239"/>
      <c r="G24" s="188" t="str">
        <f t="shared" si="1"/>
        <v/>
      </c>
      <c r="H24" s="236" t="str">
        <f t="shared" si="2"/>
        <v/>
      </c>
      <c r="I24" s="237"/>
    </row>
    <row r="25" spans="1:9">
      <c r="A25" s="232">
        <f t="shared" si="3"/>
        <v>23</v>
      </c>
      <c r="B25" s="233">
        <v>45467</v>
      </c>
      <c r="C25" s="234">
        <v>124.193652</v>
      </c>
      <c r="D25" s="235">
        <v>129.02325388424765</v>
      </c>
      <c r="E25" s="234">
        <f t="shared" si="0"/>
        <v>124.193652</v>
      </c>
      <c r="F25" s="239"/>
      <c r="G25" s="188" t="str">
        <f t="shared" si="1"/>
        <v/>
      </c>
      <c r="H25" s="236" t="str">
        <f t="shared" si="2"/>
        <v/>
      </c>
      <c r="I25" s="237"/>
    </row>
    <row r="26" spans="1:9">
      <c r="A26" s="232">
        <f t="shared" si="3"/>
        <v>24</v>
      </c>
      <c r="B26" s="233">
        <v>45468</v>
      </c>
      <c r="C26" s="234">
        <v>93.912762000000001</v>
      </c>
      <c r="D26" s="235">
        <v>129.02325388424765</v>
      </c>
      <c r="E26" s="234">
        <f t="shared" si="0"/>
        <v>93.912762000000001</v>
      </c>
      <c r="F26" s="239"/>
      <c r="G26" s="188" t="str">
        <f t="shared" si="1"/>
        <v/>
      </c>
      <c r="H26" s="236" t="str">
        <f t="shared" si="2"/>
        <v/>
      </c>
      <c r="I26" s="237"/>
    </row>
    <row r="27" spans="1:9">
      <c r="A27" s="232">
        <f t="shared" si="3"/>
        <v>25</v>
      </c>
      <c r="B27" s="233">
        <v>45469</v>
      </c>
      <c r="C27" s="234">
        <v>118.845916</v>
      </c>
      <c r="D27" s="235">
        <v>129.02325388424765</v>
      </c>
      <c r="E27" s="234">
        <f t="shared" si="0"/>
        <v>118.845916</v>
      </c>
      <c r="F27" s="239"/>
      <c r="G27" s="188" t="str">
        <f t="shared" si="1"/>
        <v/>
      </c>
      <c r="H27" s="236" t="str">
        <f t="shared" si="2"/>
        <v/>
      </c>
      <c r="I27" s="237"/>
    </row>
    <row r="28" spans="1:9">
      <c r="A28" s="232">
        <f t="shared" si="3"/>
        <v>26</v>
      </c>
      <c r="B28" s="233">
        <v>45470</v>
      </c>
      <c r="C28" s="234">
        <v>130.9426</v>
      </c>
      <c r="D28" s="235">
        <v>129.02325388424765</v>
      </c>
      <c r="E28" s="234">
        <f t="shared" si="0"/>
        <v>129.02325388424765</v>
      </c>
      <c r="F28" s="239"/>
      <c r="G28" s="188" t="str">
        <f t="shared" si="1"/>
        <v/>
      </c>
      <c r="H28" s="236" t="str">
        <f t="shared" si="2"/>
        <v/>
      </c>
      <c r="I28" s="237"/>
    </row>
    <row r="29" spans="1:9">
      <c r="A29" s="232">
        <f t="shared" si="3"/>
        <v>27</v>
      </c>
      <c r="B29" s="233">
        <v>45471</v>
      </c>
      <c r="C29" s="234">
        <v>185.431545</v>
      </c>
      <c r="D29" s="235">
        <v>129.02325388424765</v>
      </c>
      <c r="E29" s="234">
        <f t="shared" si="0"/>
        <v>129.02325388424765</v>
      </c>
      <c r="F29" s="239"/>
      <c r="G29" s="188" t="str">
        <f t="shared" si="1"/>
        <v/>
      </c>
      <c r="H29" s="236" t="str">
        <f t="shared" si="2"/>
        <v/>
      </c>
      <c r="I29" s="237"/>
    </row>
    <row r="30" spans="1:9">
      <c r="A30" s="232">
        <f t="shared" si="3"/>
        <v>28</v>
      </c>
      <c r="B30" s="233">
        <v>45472</v>
      </c>
      <c r="C30" s="234">
        <v>156.818172</v>
      </c>
      <c r="D30" s="235">
        <v>129.02325388424765</v>
      </c>
      <c r="E30" s="234">
        <f t="shared" si="0"/>
        <v>129.02325388424765</v>
      </c>
      <c r="F30" s="239"/>
      <c r="G30" s="188" t="str">
        <f t="shared" si="1"/>
        <v/>
      </c>
      <c r="H30" s="236" t="str">
        <f t="shared" si="2"/>
        <v/>
      </c>
      <c r="I30" s="237"/>
    </row>
    <row r="31" spans="1:9">
      <c r="A31" s="232">
        <f t="shared" si="3"/>
        <v>29</v>
      </c>
      <c r="B31" s="233">
        <v>45473</v>
      </c>
      <c r="C31" s="234">
        <v>56.954242000000008</v>
      </c>
      <c r="D31" s="235">
        <v>129.02325388424765</v>
      </c>
      <c r="E31" s="234">
        <f t="shared" si="0"/>
        <v>56.954242000000008</v>
      </c>
      <c r="F31" s="239"/>
      <c r="G31" s="188" t="str">
        <f t="shared" si="1"/>
        <v/>
      </c>
      <c r="H31" s="236" t="str">
        <f t="shared" si="2"/>
        <v/>
      </c>
      <c r="I31" s="237"/>
    </row>
    <row r="32" spans="1:9">
      <c r="A32" s="232">
        <f t="shared" si="3"/>
        <v>30</v>
      </c>
      <c r="B32" s="233">
        <v>45474</v>
      </c>
      <c r="C32" s="234">
        <v>183.07220500000003</v>
      </c>
      <c r="D32" s="235">
        <v>138.70177485350828</v>
      </c>
      <c r="E32" s="234">
        <f t="shared" si="0"/>
        <v>138.70177485350828</v>
      </c>
      <c r="F32" s="239"/>
      <c r="G32" s="188" t="str">
        <f t="shared" si="1"/>
        <v/>
      </c>
      <c r="H32" s="236" t="str">
        <f t="shared" si="2"/>
        <v/>
      </c>
      <c r="I32" s="237"/>
    </row>
    <row r="33" spans="1:9">
      <c r="A33" s="232">
        <f t="shared" si="3"/>
        <v>31</v>
      </c>
      <c r="B33" s="233">
        <v>45475</v>
      </c>
      <c r="C33" s="234">
        <v>180.22424699999999</v>
      </c>
      <c r="D33" s="235">
        <v>138.70177485350828</v>
      </c>
      <c r="E33" s="234">
        <f t="shared" si="0"/>
        <v>138.70177485350828</v>
      </c>
      <c r="F33" s="237"/>
      <c r="G33" s="188" t="str">
        <f t="shared" si="1"/>
        <v/>
      </c>
      <c r="H33" s="236" t="str">
        <f t="shared" si="2"/>
        <v/>
      </c>
      <c r="I33" s="237"/>
    </row>
    <row r="34" spans="1:9">
      <c r="A34" s="232">
        <f t="shared" si="3"/>
        <v>32</v>
      </c>
      <c r="B34" s="233">
        <v>45476</v>
      </c>
      <c r="C34" s="234">
        <v>139.905495</v>
      </c>
      <c r="D34" s="235">
        <v>138.70177485350828</v>
      </c>
      <c r="E34" s="234">
        <f t="shared" si="0"/>
        <v>138.70177485350828</v>
      </c>
      <c r="F34" s="239"/>
      <c r="G34" s="188" t="str">
        <f t="shared" si="1"/>
        <v/>
      </c>
      <c r="H34" s="236" t="str">
        <f t="shared" si="2"/>
        <v/>
      </c>
      <c r="I34" s="237"/>
    </row>
    <row r="35" spans="1:9">
      <c r="A35" s="232">
        <f t="shared" si="3"/>
        <v>33</v>
      </c>
      <c r="B35" s="233">
        <v>45477</v>
      </c>
      <c r="C35" s="234">
        <v>140.02259599999999</v>
      </c>
      <c r="D35" s="235">
        <v>138.70177485350828</v>
      </c>
      <c r="E35" s="234">
        <f t="shared" si="0"/>
        <v>138.70177485350828</v>
      </c>
      <c r="F35" s="239"/>
      <c r="G35" s="188" t="str">
        <f t="shared" si="1"/>
        <v/>
      </c>
      <c r="H35" s="236" t="str">
        <f t="shared" si="2"/>
        <v/>
      </c>
      <c r="I35" s="237"/>
    </row>
    <row r="36" spans="1:9">
      <c r="A36" s="232">
        <f t="shared" si="3"/>
        <v>34</v>
      </c>
      <c r="B36" s="233">
        <v>45478</v>
      </c>
      <c r="C36" s="234">
        <v>150.14626499999997</v>
      </c>
      <c r="D36" s="235">
        <v>138.70177485350828</v>
      </c>
      <c r="E36" s="234">
        <f t="shared" si="0"/>
        <v>138.70177485350828</v>
      </c>
      <c r="F36" s="239"/>
      <c r="G36" s="188" t="str">
        <f t="shared" si="1"/>
        <v/>
      </c>
      <c r="H36" s="236" t="str">
        <f t="shared" si="2"/>
        <v/>
      </c>
      <c r="I36" s="237"/>
    </row>
    <row r="37" spans="1:9">
      <c r="A37" s="232">
        <f t="shared" si="3"/>
        <v>35</v>
      </c>
      <c r="B37" s="233">
        <v>45479</v>
      </c>
      <c r="C37" s="234">
        <v>153.765837</v>
      </c>
      <c r="D37" s="235">
        <v>138.70177485350828</v>
      </c>
      <c r="E37" s="234">
        <f t="shared" si="0"/>
        <v>138.70177485350828</v>
      </c>
      <c r="F37" s="239"/>
      <c r="G37" s="188" t="str">
        <f t="shared" si="1"/>
        <v/>
      </c>
      <c r="H37" s="236" t="str">
        <f t="shared" si="2"/>
        <v/>
      </c>
      <c r="I37" s="237"/>
    </row>
    <row r="38" spans="1:9">
      <c r="A38" s="232">
        <f t="shared" si="3"/>
        <v>36</v>
      </c>
      <c r="B38" s="233">
        <v>45480</v>
      </c>
      <c r="C38" s="234">
        <v>92.287915999999996</v>
      </c>
      <c r="D38" s="235">
        <v>138.70177485350828</v>
      </c>
      <c r="E38" s="234">
        <f t="shared" si="0"/>
        <v>92.287915999999996</v>
      </c>
      <c r="F38" s="239"/>
      <c r="G38" s="188" t="str">
        <f t="shared" si="1"/>
        <v/>
      </c>
      <c r="H38" s="236" t="str">
        <f t="shared" si="2"/>
        <v/>
      </c>
      <c r="I38" s="237"/>
    </row>
    <row r="39" spans="1:9">
      <c r="A39" s="232">
        <f t="shared" si="3"/>
        <v>37</v>
      </c>
      <c r="B39" s="233">
        <v>45481</v>
      </c>
      <c r="C39" s="234">
        <v>129.90347700000001</v>
      </c>
      <c r="D39" s="235">
        <v>138.70177485350828</v>
      </c>
      <c r="E39" s="234">
        <f t="shared" si="0"/>
        <v>129.90347700000001</v>
      </c>
      <c r="F39" s="239"/>
      <c r="G39" s="188" t="str">
        <f t="shared" si="1"/>
        <v/>
      </c>
      <c r="H39" s="236" t="str">
        <f t="shared" si="2"/>
        <v/>
      </c>
      <c r="I39" s="237"/>
    </row>
    <row r="40" spans="1:9">
      <c r="A40" s="232">
        <f t="shared" si="3"/>
        <v>38</v>
      </c>
      <c r="B40" s="233">
        <v>45482</v>
      </c>
      <c r="C40" s="234">
        <v>135.30928999999998</v>
      </c>
      <c r="D40" s="235">
        <v>138.70177485350828</v>
      </c>
      <c r="E40" s="234">
        <f t="shared" si="0"/>
        <v>135.30928999999998</v>
      </c>
      <c r="F40" s="239"/>
      <c r="G40" s="188" t="str">
        <f t="shared" si="1"/>
        <v/>
      </c>
      <c r="H40" s="236" t="str">
        <f t="shared" si="2"/>
        <v/>
      </c>
      <c r="I40" s="237"/>
    </row>
    <row r="41" spans="1:9">
      <c r="A41" s="232">
        <f t="shared" si="3"/>
        <v>39</v>
      </c>
      <c r="B41" s="233">
        <v>45483</v>
      </c>
      <c r="C41" s="234">
        <v>68.314876999999996</v>
      </c>
      <c r="D41" s="235">
        <v>138.70177485350828</v>
      </c>
      <c r="E41" s="234">
        <f t="shared" si="0"/>
        <v>68.314876999999996</v>
      </c>
      <c r="F41" s="239"/>
      <c r="G41" s="188" t="str">
        <f t="shared" si="1"/>
        <v/>
      </c>
      <c r="H41" s="236" t="str">
        <f t="shared" si="2"/>
        <v/>
      </c>
      <c r="I41" s="237"/>
    </row>
    <row r="42" spans="1:9">
      <c r="A42" s="232">
        <f t="shared" si="3"/>
        <v>40</v>
      </c>
      <c r="B42" s="233">
        <v>45484</v>
      </c>
      <c r="C42" s="234">
        <v>124.845597</v>
      </c>
      <c r="D42" s="235">
        <v>138.70177485350828</v>
      </c>
      <c r="E42" s="234">
        <f t="shared" si="0"/>
        <v>124.845597</v>
      </c>
      <c r="F42" s="239"/>
      <c r="G42" s="188" t="str">
        <f t="shared" si="1"/>
        <v/>
      </c>
      <c r="H42" s="236" t="str">
        <f t="shared" si="2"/>
        <v/>
      </c>
      <c r="I42" s="237"/>
    </row>
    <row r="43" spans="1:9">
      <c r="A43" s="232">
        <f t="shared" si="3"/>
        <v>41</v>
      </c>
      <c r="B43" s="233">
        <v>45485</v>
      </c>
      <c r="C43" s="234">
        <v>190.27972799999998</v>
      </c>
      <c r="D43" s="235">
        <v>138.70177485350828</v>
      </c>
      <c r="E43" s="234">
        <f t="shared" si="0"/>
        <v>138.70177485350828</v>
      </c>
      <c r="F43" s="239"/>
      <c r="G43" s="188" t="str">
        <f t="shared" si="1"/>
        <v/>
      </c>
      <c r="H43" s="236" t="str">
        <f t="shared" si="2"/>
        <v/>
      </c>
      <c r="I43" s="237"/>
    </row>
    <row r="44" spans="1:9">
      <c r="A44" s="232">
        <f t="shared" si="3"/>
        <v>42</v>
      </c>
      <c r="B44" s="233">
        <v>45486</v>
      </c>
      <c r="C44" s="234">
        <v>132.69847000000001</v>
      </c>
      <c r="D44" s="235">
        <v>138.70177485350828</v>
      </c>
      <c r="E44" s="234">
        <f t="shared" si="0"/>
        <v>132.69847000000001</v>
      </c>
      <c r="F44" s="239"/>
      <c r="G44" s="188" t="str">
        <f t="shared" si="1"/>
        <v/>
      </c>
      <c r="H44" s="236" t="str">
        <f t="shared" si="2"/>
        <v/>
      </c>
      <c r="I44" s="237"/>
    </row>
    <row r="45" spans="1:9">
      <c r="A45" s="232">
        <f t="shared" si="3"/>
        <v>43</v>
      </c>
      <c r="B45" s="233">
        <v>45487</v>
      </c>
      <c r="C45" s="234">
        <v>101.11832100000001</v>
      </c>
      <c r="D45" s="235">
        <v>138.70177485350828</v>
      </c>
      <c r="E45" s="234">
        <f t="shared" si="0"/>
        <v>101.11832100000001</v>
      </c>
      <c r="F45" s="239"/>
      <c r="G45" s="188" t="str">
        <f t="shared" si="1"/>
        <v/>
      </c>
      <c r="H45" s="236" t="str">
        <f t="shared" si="2"/>
        <v/>
      </c>
      <c r="I45" s="237"/>
    </row>
    <row r="46" spans="1:9">
      <c r="A46" s="232">
        <f t="shared" si="3"/>
        <v>44</v>
      </c>
      <c r="B46" s="233">
        <v>45488</v>
      </c>
      <c r="C46" s="234">
        <v>190.482573</v>
      </c>
      <c r="D46" s="235">
        <v>138.70177485350828</v>
      </c>
      <c r="E46" s="234">
        <f t="shared" si="0"/>
        <v>138.70177485350828</v>
      </c>
      <c r="F46" s="239"/>
      <c r="G46" s="188" t="str">
        <f t="shared" si="1"/>
        <v>J</v>
      </c>
      <c r="H46" s="236" t="str">
        <f t="shared" si="2"/>
        <v>138,7</v>
      </c>
      <c r="I46" s="237"/>
    </row>
    <row r="47" spans="1:9">
      <c r="A47" s="232">
        <f t="shared" si="3"/>
        <v>45</v>
      </c>
      <c r="B47" s="233">
        <v>45489</v>
      </c>
      <c r="C47" s="234">
        <v>98.862234999999998</v>
      </c>
      <c r="D47" s="235">
        <v>138.70177485350828</v>
      </c>
      <c r="E47" s="234">
        <f t="shared" si="0"/>
        <v>98.862234999999998</v>
      </c>
      <c r="F47" s="239"/>
      <c r="G47" s="188" t="str">
        <f t="shared" si="1"/>
        <v/>
      </c>
      <c r="H47" s="236" t="str">
        <f t="shared" si="2"/>
        <v/>
      </c>
      <c r="I47" s="237"/>
    </row>
    <row r="48" spans="1:9">
      <c r="A48" s="232">
        <f t="shared" si="3"/>
        <v>46</v>
      </c>
      <c r="B48" s="233">
        <v>45490</v>
      </c>
      <c r="C48" s="234">
        <v>104.94921000000001</v>
      </c>
      <c r="D48" s="235">
        <v>138.70177485350828</v>
      </c>
      <c r="E48" s="234">
        <f t="shared" si="0"/>
        <v>104.94921000000001</v>
      </c>
      <c r="F48" s="239"/>
      <c r="G48" s="188" t="str">
        <f t="shared" si="1"/>
        <v/>
      </c>
      <c r="H48" s="236" t="str">
        <f t="shared" si="2"/>
        <v/>
      </c>
      <c r="I48" s="237"/>
    </row>
    <row r="49" spans="1:9">
      <c r="A49" s="232">
        <f t="shared" si="3"/>
        <v>47</v>
      </c>
      <c r="B49" s="233">
        <v>45491</v>
      </c>
      <c r="C49" s="234">
        <v>72.424884999999989</v>
      </c>
      <c r="D49" s="235">
        <v>138.70177485350828</v>
      </c>
      <c r="E49" s="234">
        <f t="shared" si="0"/>
        <v>72.424884999999989</v>
      </c>
      <c r="F49" s="239"/>
      <c r="G49" s="188" t="str">
        <f t="shared" si="1"/>
        <v/>
      </c>
      <c r="H49" s="236" t="str">
        <f t="shared" si="2"/>
        <v/>
      </c>
      <c r="I49" s="237"/>
    </row>
    <row r="50" spans="1:9">
      <c r="A50" s="232">
        <f t="shared" si="3"/>
        <v>48</v>
      </c>
      <c r="B50" s="233">
        <v>45492</v>
      </c>
      <c r="C50" s="234">
        <v>59.236810000000006</v>
      </c>
      <c r="D50" s="235">
        <v>138.70177485350828</v>
      </c>
      <c r="E50" s="234">
        <f t="shared" si="0"/>
        <v>59.236810000000006</v>
      </c>
      <c r="F50" s="239"/>
      <c r="G50" s="188" t="str">
        <f t="shared" si="1"/>
        <v/>
      </c>
      <c r="H50" s="236" t="str">
        <f t="shared" si="2"/>
        <v/>
      </c>
      <c r="I50" s="237"/>
    </row>
    <row r="51" spans="1:9">
      <c r="A51" s="232">
        <f t="shared" si="3"/>
        <v>49</v>
      </c>
      <c r="B51" s="233">
        <v>45493</v>
      </c>
      <c r="C51" s="234">
        <v>154.67245600000001</v>
      </c>
      <c r="D51" s="235">
        <v>138.70177485350828</v>
      </c>
      <c r="E51" s="234">
        <f t="shared" si="0"/>
        <v>138.70177485350828</v>
      </c>
      <c r="F51" s="239"/>
      <c r="G51" s="188" t="str">
        <f t="shared" si="1"/>
        <v/>
      </c>
      <c r="H51" s="236" t="str">
        <f t="shared" si="2"/>
        <v/>
      </c>
      <c r="I51" s="237"/>
    </row>
    <row r="52" spans="1:9">
      <c r="A52" s="232">
        <f t="shared" si="3"/>
        <v>50</v>
      </c>
      <c r="B52" s="233">
        <v>45494</v>
      </c>
      <c r="C52" s="234">
        <v>191.23055400000001</v>
      </c>
      <c r="D52" s="235">
        <v>138.70177485350828</v>
      </c>
      <c r="E52" s="234">
        <f t="shared" si="0"/>
        <v>138.70177485350828</v>
      </c>
      <c r="F52" s="239"/>
      <c r="G52" s="188" t="str">
        <f t="shared" si="1"/>
        <v/>
      </c>
      <c r="H52" s="236" t="str">
        <f t="shared" si="2"/>
        <v/>
      </c>
      <c r="I52" s="237"/>
    </row>
    <row r="53" spans="1:9">
      <c r="A53" s="232">
        <f t="shared" si="3"/>
        <v>51</v>
      </c>
      <c r="B53" s="233">
        <v>45495</v>
      </c>
      <c r="C53" s="234">
        <v>164.59027899999998</v>
      </c>
      <c r="D53" s="235">
        <v>138.70177485350828</v>
      </c>
      <c r="E53" s="234">
        <f t="shared" si="0"/>
        <v>138.70177485350828</v>
      </c>
      <c r="F53" s="239"/>
      <c r="G53" s="188" t="str">
        <f t="shared" si="1"/>
        <v/>
      </c>
      <c r="H53" s="236" t="str">
        <f t="shared" si="2"/>
        <v/>
      </c>
      <c r="I53" s="237"/>
    </row>
    <row r="54" spans="1:9">
      <c r="A54" s="232">
        <f t="shared" si="3"/>
        <v>52</v>
      </c>
      <c r="B54" s="233">
        <v>45496</v>
      </c>
      <c r="C54" s="234">
        <v>127.680735</v>
      </c>
      <c r="D54" s="235">
        <v>138.70177485350828</v>
      </c>
      <c r="E54" s="234">
        <f t="shared" si="0"/>
        <v>127.680735</v>
      </c>
      <c r="F54" s="239"/>
      <c r="G54" s="188" t="str">
        <f t="shared" si="1"/>
        <v/>
      </c>
      <c r="H54" s="236" t="str">
        <f t="shared" si="2"/>
        <v/>
      </c>
      <c r="I54" s="237"/>
    </row>
    <row r="55" spans="1:9">
      <c r="A55" s="232">
        <f t="shared" si="3"/>
        <v>53</v>
      </c>
      <c r="B55" s="233">
        <v>45497</v>
      </c>
      <c r="C55" s="234">
        <v>131.10322099999999</v>
      </c>
      <c r="D55" s="235">
        <v>138.70177485350828</v>
      </c>
      <c r="E55" s="234">
        <f t="shared" si="0"/>
        <v>131.10322099999999</v>
      </c>
      <c r="F55" s="239"/>
      <c r="G55" s="188" t="str">
        <f t="shared" si="1"/>
        <v/>
      </c>
      <c r="H55" s="236" t="str">
        <f t="shared" si="2"/>
        <v/>
      </c>
      <c r="I55" s="237"/>
    </row>
    <row r="56" spans="1:9">
      <c r="A56" s="232">
        <f t="shared" si="3"/>
        <v>54</v>
      </c>
      <c r="B56" s="233">
        <v>45498</v>
      </c>
      <c r="C56" s="234">
        <v>145.74753200000001</v>
      </c>
      <c r="D56" s="235">
        <v>138.70177485350828</v>
      </c>
      <c r="E56" s="234">
        <f t="shared" si="0"/>
        <v>138.70177485350828</v>
      </c>
      <c r="F56" s="239"/>
      <c r="G56" s="188" t="str">
        <f t="shared" si="1"/>
        <v/>
      </c>
      <c r="H56" s="236" t="str">
        <f t="shared" si="2"/>
        <v/>
      </c>
      <c r="I56" s="237"/>
    </row>
    <row r="57" spans="1:9">
      <c r="A57" s="232">
        <f t="shared" si="3"/>
        <v>55</v>
      </c>
      <c r="B57" s="233">
        <v>45499</v>
      </c>
      <c r="C57" s="234">
        <v>104.143731</v>
      </c>
      <c r="D57" s="235">
        <v>138.70177485350828</v>
      </c>
      <c r="E57" s="234">
        <f t="shared" si="0"/>
        <v>104.143731</v>
      </c>
      <c r="F57" s="239"/>
      <c r="G57" s="188" t="str">
        <f t="shared" si="1"/>
        <v/>
      </c>
      <c r="H57" s="236" t="str">
        <f t="shared" si="2"/>
        <v/>
      </c>
      <c r="I57" s="237"/>
    </row>
    <row r="58" spans="1:9">
      <c r="A58" s="232">
        <f t="shared" si="3"/>
        <v>56</v>
      </c>
      <c r="B58" s="233">
        <v>45500</v>
      </c>
      <c r="C58" s="234">
        <v>108.45381</v>
      </c>
      <c r="D58" s="235">
        <v>138.70177485350828</v>
      </c>
      <c r="E58" s="234">
        <f t="shared" si="0"/>
        <v>108.45381</v>
      </c>
      <c r="F58" s="239"/>
      <c r="G58" s="188" t="str">
        <f t="shared" si="1"/>
        <v/>
      </c>
      <c r="H58" s="236" t="str">
        <f t="shared" si="2"/>
        <v/>
      </c>
      <c r="I58" s="237"/>
    </row>
    <row r="59" spans="1:9">
      <c r="A59" s="232">
        <f t="shared" si="3"/>
        <v>57</v>
      </c>
      <c r="B59" s="233">
        <v>45501</v>
      </c>
      <c r="C59" s="234">
        <v>159.02018300000003</v>
      </c>
      <c r="D59" s="235">
        <v>138.70177485350828</v>
      </c>
      <c r="E59" s="234">
        <f t="shared" si="0"/>
        <v>138.70177485350828</v>
      </c>
      <c r="F59" s="239"/>
      <c r="G59" s="188" t="str">
        <f t="shared" si="1"/>
        <v/>
      </c>
      <c r="H59" s="236" t="str">
        <f t="shared" si="2"/>
        <v/>
      </c>
      <c r="I59" s="237"/>
    </row>
    <row r="60" spans="1:9">
      <c r="A60" s="232">
        <f t="shared" si="3"/>
        <v>58</v>
      </c>
      <c r="B60" s="233">
        <v>45502</v>
      </c>
      <c r="C60" s="234">
        <v>127.01384200000001</v>
      </c>
      <c r="D60" s="235">
        <v>138.70177485350828</v>
      </c>
      <c r="E60" s="234">
        <f t="shared" si="0"/>
        <v>127.01384200000001</v>
      </c>
      <c r="F60" s="239"/>
      <c r="G60" s="188" t="str">
        <f t="shared" si="1"/>
        <v/>
      </c>
      <c r="H60" s="236" t="str">
        <f t="shared" si="2"/>
        <v/>
      </c>
      <c r="I60" s="237"/>
    </row>
    <row r="61" spans="1:9">
      <c r="A61" s="232">
        <f t="shared" si="3"/>
        <v>59</v>
      </c>
      <c r="B61" s="233">
        <v>45503</v>
      </c>
      <c r="C61" s="234">
        <v>161.54082399999999</v>
      </c>
      <c r="D61" s="235">
        <v>138.70177485350828</v>
      </c>
      <c r="E61" s="234">
        <f t="shared" si="0"/>
        <v>138.70177485350828</v>
      </c>
      <c r="F61" s="239"/>
      <c r="G61" s="188" t="str">
        <f t="shared" si="1"/>
        <v/>
      </c>
      <c r="H61" s="236" t="str">
        <f t="shared" si="2"/>
        <v/>
      </c>
      <c r="I61" s="237"/>
    </row>
    <row r="62" spans="1:9">
      <c r="A62" s="232">
        <f t="shared" si="3"/>
        <v>60</v>
      </c>
      <c r="B62" s="233">
        <v>45504</v>
      </c>
      <c r="C62" s="234">
        <v>75.948722000000004</v>
      </c>
      <c r="D62" s="235">
        <v>138.70177485350828</v>
      </c>
      <c r="E62" s="234">
        <f t="shared" si="0"/>
        <v>75.948722000000004</v>
      </c>
      <c r="F62" s="239"/>
      <c r="G62" s="188" t="str">
        <f t="shared" si="1"/>
        <v/>
      </c>
      <c r="H62" s="236" t="str">
        <f t="shared" si="2"/>
        <v/>
      </c>
      <c r="I62" s="237"/>
    </row>
    <row r="63" spans="1:9">
      <c r="A63" s="232">
        <f t="shared" si="3"/>
        <v>61</v>
      </c>
      <c r="B63" s="233">
        <v>45505</v>
      </c>
      <c r="C63" s="234">
        <v>110.714079</v>
      </c>
      <c r="D63" s="235">
        <v>133.11991266435626</v>
      </c>
      <c r="E63" s="234">
        <f t="shared" si="0"/>
        <v>110.714079</v>
      </c>
      <c r="F63" s="237"/>
      <c r="G63" s="188" t="str">
        <f t="shared" si="1"/>
        <v/>
      </c>
      <c r="H63" s="236" t="str">
        <f t="shared" si="2"/>
        <v/>
      </c>
      <c r="I63" s="237"/>
    </row>
    <row r="64" spans="1:9">
      <c r="A64" s="232">
        <f t="shared" si="3"/>
        <v>62</v>
      </c>
      <c r="B64" s="233">
        <v>45506</v>
      </c>
      <c r="C64" s="234">
        <v>194.56742799999998</v>
      </c>
      <c r="D64" s="235">
        <v>133.11991266435626</v>
      </c>
      <c r="E64" s="234">
        <f t="shared" si="0"/>
        <v>133.11991266435626</v>
      </c>
      <c r="F64" s="239"/>
      <c r="G64" s="188" t="str">
        <f t="shared" si="1"/>
        <v/>
      </c>
      <c r="H64" s="236" t="str">
        <f t="shared" si="2"/>
        <v/>
      </c>
      <c r="I64" s="237"/>
    </row>
    <row r="65" spans="1:9">
      <c r="A65" s="232">
        <f t="shared" si="3"/>
        <v>63</v>
      </c>
      <c r="B65" s="233">
        <v>45507</v>
      </c>
      <c r="C65" s="234">
        <v>129.686756</v>
      </c>
      <c r="D65" s="235">
        <v>133.11991266435626</v>
      </c>
      <c r="E65" s="234">
        <f t="shared" si="0"/>
        <v>129.686756</v>
      </c>
      <c r="F65" s="239"/>
      <c r="G65" s="188" t="str">
        <f t="shared" si="1"/>
        <v/>
      </c>
      <c r="H65" s="236" t="str">
        <f t="shared" si="2"/>
        <v/>
      </c>
      <c r="I65" s="237"/>
    </row>
    <row r="66" spans="1:9">
      <c r="A66" s="232">
        <f t="shared" si="3"/>
        <v>64</v>
      </c>
      <c r="B66" s="233">
        <v>45508</v>
      </c>
      <c r="C66" s="234">
        <v>87.72823600000001</v>
      </c>
      <c r="D66" s="235">
        <v>133.11991266435626</v>
      </c>
      <c r="E66" s="234">
        <f t="shared" si="0"/>
        <v>87.72823600000001</v>
      </c>
      <c r="F66" s="239"/>
      <c r="G66" s="188" t="str">
        <f t="shared" si="1"/>
        <v/>
      </c>
      <c r="H66" s="236" t="str">
        <f t="shared" si="2"/>
        <v/>
      </c>
      <c r="I66" s="237"/>
    </row>
    <row r="67" spans="1:9">
      <c r="A67" s="232">
        <f t="shared" si="3"/>
        <v>65</v>
      </c>
      <c r="B67" s="233">
        <v>45509</v>
      </c>
      <c r="C67" s="234">
        <v>71.729529999999997</v>
      </c>
      <c r="D67" s="235">
        <v>133.11991266435626</v>
      </c>
      <c r="E67" s="234">
        <f t="shared" ref="E67:E130" si="4">IF(C67&gt;D67,D67,C67)</f>
        <v>71.729529999999997</v>
      </c>
      <c r="F67" s="239"/>
      <c r="G67" s="188" t="str">
        <f t="shared" ref="G67:G130" si="5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36" t="str">
        <f t="shared" ref="H67:H130" si="6">IF(DAY($B67)=15,TEXT(D67,"#,0"),"")</f>
        <v/>
      </c>
      <c r="I67" s="237"/>
    </row>
    <row r="68" spans="1:9">
      <c r="A68" s="232">
        <f t="shared" ref="A68:A131" si="7">+A67+1</f>
        <v>66</v>
      </c>
      <c r="B68" s="233">
        <v>45510</v>
      </c>
      <c r="C68" s="234">
        <v>102.846844</v>
      </c>
      <c r="D68" s="235">
        <v>133.11991266435626</v>
      </c>
      <c r="E68" s="234">
        <f t="shared" si="4"/>
        <v>102.846844</v>
      </c>
      <c r="F68" s="239"/>
      <c r="G68" s="188" t="str">
        <f t="shared" si="5"/>
        <v/>
      </c>
      <c r="H68" s="236" t="str">
        <f t="shared" si="6"/>
        <v/>
      </c>
      <c r="I68" s="237"/>
    </row>
    <row r="69" spans="1:9">
      <c r="A69" s="232">
        <f t="shared" si="7"/>
        <v>67</v>
      </c>
      <c r="B69" s="233">
        <v>45511</v>
      </c>
      <c r="C69" s="234">
        <v>146.872434</v>
      </c>
      <c r="D69" s="235">
        <v>133.11991266435626</v>
      </c>
      <c r="E69" s="234">
        <f t="shared" si="4"/>
        <v>133.11991266435626</v>
      </c>
      <c r="F69" s="239"/>
      <c r="G69" s="188" t="str">
        <f t="shared" si="5"/>
        <v/>
      </c>
      <c r="H69" s="236" t="str">
        <f t="shared" si="6"/>
        <v/>
      </c>
      <c r="I69" s="237"/>
    </row>
    <row r="70" spans="1:9">
      <c r="A70" s="232">
        <f t="shared" si="7"/>
        <v>68</v>
      </c>
      <c r="B70" s="233">
        <v>45512</v>
      </c>
      <c r="C70" s="234">
        <v>117.85944200000002</v>
      </c>
      <c r="D70" s="235">
        <v>133.11991266435626</v>
      </c>
      <c r="E70" s="234">
        <f t="shared" si="4"/>
        <v>117.85944200000002</v>
      </c>
      <c r="F70" s="239"/>
      <c r="G70" s="188" t="str">
        <f t="shared" si="5"/>
        <v/>
      </c>
      <c r="H70" s="236" t="str">
        <f t="shared" si="6"/>
        <v/>
      </c>
      <c r="I70" s="237"/>
    </row>
    <row r="71" spans="1:9">
      <c r="A71" s="232">
        <f t="shared" si="7"/>
        <v>69</v>
      </c>
      <c r="B71" s="233">
        <v>45513</v>
      </c>
      <c r="C71" s="234">
        <v>104.752955</v>
      </c>
      <c r="D71" s="235">
        <v>133.11991266435626</v>
      </c>
      <c r="E71" s="234">
        <f t="shared" si="4"/>
        <v>104.752955</v>
      </c>
      <c r="F71" s="239"/>
      <c r="G71" s="188" t="str">
        <f t="shared" si="5"/>
        <v/>
      </c>
      <c r="H71" s="236" t="str">
        <f t="shared" si="6"/>
        <v/>
      </c>
      <c r="I71" s="237"/>
    </row>
    <row r="72" spans="1:9">
      <c r="A72" s="232">
        <f t="shared" si="7"/>
        <v>70</v>
      </c>
      <c r="B72" s="233">
        <v>45514</v>
      </c>
      <c r="C72" s="234">
        <v>131.54880799999998</v>
      </c>
      <c r="D72" s="235">
        <v>133.11991266435626</v>
      </c>
      <c r="E72" s="234">
        <f t="shared" si="4"/>
        <v>131.54880799999998</v>
      </c>
      <c r="F72" s="239"/>
      <c r="G72" s="188" t="str">
        <f t="shared" si="5"/>
        <v/>
      </c>
      <c r="H72" s="236" t="str">
        <f t="shared" si="6"/>
        <v/>
      </c>
      <c r="I72" s="237"/>
    </row>
    <row r="73" spans="1:9">
      <c r="A73" s="232">
        <f t="shared" si="7"/>
        <v>71</v>
      </c>
      <c r="B73" s="233">
        <v>45515</v>
      </c>
      <c r="C73" s="234">
        <v>137.39475300000001</v>
      </c>
      <c r="D73" s="235">
        <v>133.11991266435626</v>
      </c>
      <c r="E73" s="234">
        <f t="shared" si="4"/>
        <v>133.11991266435626</v>
      </c>
      <c r="F73" s="239"/>
      <c r="G73" s="188" t="str">
        <f t="shared" si="5"/>
        <v/>
      </c>
      <c r="H73" s="236" t="str">
        <f t="shared" si="6"/>
        <v/>
      </c>
      <c r="I73" s="237"/>
    </row>
    <row r="74" spans="1:9">
      <c r="A74" s="232">
        <f t="shared" si="7"/>
        <v>72</v>
      </c>
      <c r="B74" s="233">
        <v>45516</v>
      </c>
      <c r="C74" s="234">
        <v>91.825952999999998</v>
      </c>
      <c r="D74" s="235">
        <v>133.11991266435626</v>
      </c>
      <c r="E74" s="234">
        <f t="shared" si="4"/>
        <v>91.825952999999998</v>
      </c>
      <c r="F74" s="239"/>
      <c r="G74" s="188" t="str">
        <f t="shared" si="5"/>
        <v/>
      </c>
      <c r="H74" s="236" t="str">
        <f t="shared" si="6"/>
        <v/>
      </c>
      <c r="I74" s="237"/>
    </row>
    <row r="75" spans="1:9">
      <c r="A75" s="232">
        <f t="shared" si="7"/>
        <v>73</v>
      </c>
      <c r="B75" s="233">
        <v>45517</v>
      </c>
      <c r="C75" s="234">
        <v>103.752116</v>
      </c>
      <c r="D75" s="235">
        <v>133.11991266435626</v>
      </c>
      <c r="E75" s="234">
        <f t="shared" si="4"/>
        <v>103.752116</v>
      </c>
      <c r="F75" s="239"/>
      <c r="G75" s="188" t="str">
        <f t="shared" si="5"/>
        <v/>
      </c>
      <c r="H75" s="236" t="str">
        <f t="shared" si="6"/>
        <v/>
      </c>
      <c r="I75" s="237"/>
    </row>
    <row r="76" spans="1:9">
      <c r="A76" s="232">
        <f t="shared" si="7"/>
        <v>74</v>
      </c>
      <c r="B76" s="233">
        <v>45518</v>
      </c>
      <c r="C76" s="234">
        <v>156.817002</v>
      </c>
      <c r="D76" s="235">
        <v>133.11991266435626</v>
      </c>
      <c r="E76" s="234">
        <f t="shared" si="4"/>
        <v>133.11991266435626</v>
      </c>
      <c r="F76" s="239"/>
      <c r="G76" s="188" t="str">
        <f t="shared" si="5"/>
        <v/>
      </c>
      <c r="H76" s="236" t="str">
        <f t="shared" si="6"/>
        <v/>
      </c>
      <c r="I76" s="237"/>
    </row>
    <row r="77" spans="1:9">
      <c r="A77" s="232">
        <f t="shared" si="7"/>
        <v>75</v>
      </c>
      <c r="B77" s="233">
        <v>45519</v>
      </c>
      <c r="C77" s="234">
        <v>159.07435800000002</v>
      </c>
      <c r="D77" s="235">
        <v>133.11991266435626</v>
      </c>
      <c r="E77" s="234">
        <f t="shared" si="4"/>
        <v>133.11991266435626</v>
      </c>
      <c r="F77" s="239"/>
      <c r="G77" s="188" t="str">
        <f t="shared" si="5"/>
        <v>A</v>
      </c>
      <c r="H77" s="236" t="str">
        <f t="shared" si="6"/>
        <v>133,1</v>
      </c>
      <c r="I77" s="237"/>
    </row>
    <row r="78" spans="1:9">
      <c r="A78" s="232">
        <f t="shared" si="7"/>
        <v>76</v>
      </c>
      <c r="B78" s="233">
        <v>45520</v>
      </c>
      <c r="C78" s="234">
        <v>112.051107</v>
      </c>
      <c r="D78" s="235">
        <v>133.11991266435626</v>
      </c>
      <c r="E78" s="234">
        <f t="shared" si="4"/>
        <v>112.051107</v>
      </c>
      <c r="F78" s="239"/>
      <c r="G78" s="188" t="str">
        <f t="shared" si="5"/>
        <v/>
      </c>
      <c r="H78" s="236" t="str">
        <f t="shared" si="6"/>
        <v/>
      </c>
      <c r="I78" s="237"/>
    </row>
    <row r="79" spans="1:9">
      <c r="A79" s="232">
        <f t="shared" si="7"/>
        <v>77</v>
      </c>
      <c r="B79" s="233">
        <v>45521</v>
      </c>
      <c r="C79" s="234">
        <v>106.82991200000001</v>
      </c>
      <c r="D79" s="235">
        <v>133.11991266435626</v>
      </c>
      <c r="E79" s="234">
        <f t="shared" si="4"/>
        <v>106.82991200000001</v>
      </c>
      <c r="F79" s="239"/>
      <c r="G79" s="188" t="str">
        <f t="shared" si="5"/>
        <v/>
      </c>
      <c r="H79" s="236" t="str">
        <f t="shared" si="6"/>
        <v/>
      </c>
      <c r="I79" s="237"/>
    </row>
    <row r="80" spans="1:9">
      <c r="A80" s="232">
        <f t="shared" si="7"/>
        <v>78</v>
      </c>
      <c r="B80" s="233">
        <v>45522</v>
      </c>
      <c r="C80" s="234">
        <v>144.614554</v>
      </c>
      <c r="D80" s="235">
        <v>133.11991266435626</v>
      </c>
      <c r="E80" s="234">
        <f t="shared" si="4"/>
        <v>133.11991266435626</v>
      </c>
      <c r="F80" s="239"/>
      <c r="G80" s="188" t="str">
        <f t="shared" si="5"/>
        <v/>
      </c>
      <c r="H80" s="236" t="str">
        <f t="shared" si="6"/>
        <v/>
      </c>
      <c r="I80" s="237"/>
    </row>
    <row r="81" spans="1:9">
      <c r="A81" s="232">
        <f t="shared" si="7"/>
        <v>79</v>
      </c>
      <c r="B81" s="233">
        <v>45523</v>
      </c>
      <c r="C81" s="234">
        <v>137.98127200000002</v>
      </c>
      <c r="D81" s="235">
        <v>133.11991266435626</v>
      </c>
      <c r="E81" s="234">
        <f t="shared" si="4"/>
        <v>133.11991266435626</v>
      </c>
      <c r="F81" s="239"/>
      <c r="G81" s="188" t="str">
        <f t="shared" si="5"/>
        <v/>
      </c>
      <c r="H81" s="236" t="str">
        <f t="shared" si="6"/>
        <v/>
      </c>
      <c r="I81" s="237"/>
    </row>
    <row r="82" spans="1:9">
      <c r="A82" s="232">
        <f t="shared" si="7"/>
        <v>80</v>
      </c>
      <c r="B82" s="233">
        <v>45524</v>
      </c>
      <c r="C82" s="234">
        <v>124.72519100000001</v>
      </c>
      <c r="D82" s="235">
        <v>133.11991266435626</v>
      </c>
      <c r="E82" s="234">
        <f t="shared" si="4"/>
        <v>124.72519100000001</v>
      </c>
      <c r="F82" s="239"/>
      <c r="G82" s="188" t="str">
        <f t="shared" si="5"/>
        <v/>
      </c>
      <c r="H82" s="236" t="str">
        <f t="shared" si="6"/>
        <v/>
      </c>
      <c r="I82" s="237"/>
    </row>
    <row r="83" spans="1:9">
      <c r="A83" s="232">
        <f t="shared" si="7"/>
        <v>81</v>
      </c>
      <c r="B83" s="233">
        <v>45525</v>
      </c>
      <c r="C83" s="234">
        <v>173.32077200000001</v>
      </c>
      <c r="D83" s="235">
        <v>133.11991266435626</v>
      </c>
      <c r="E83" s="234">
        <f t="shared" si="4"/>
        <v>133.11991266435626</v>
      </c>
      <c r="F83" s="239"/>
      <c r="G83" s="188" t="str">
        <f t="shared" si="5"/>
        <v/>
      </c>
      <c r="H83" s="236" t="str">
        <f t="shared" si="6"/>
        <v/>
      </c>
      <c r="I83" s="237"/>
    </row>
    <row r="84" spans="1:9">
      <c r="A84" s="232">
        <f t="shared" si="7"/>
        <v>82</v>
      </c>
      <c r="B84" s="233">
        <v>45526</v>
      </c>
      <c r="C84" s="234">
        <v>55.629601000000001</v>
      </c>
      <c r="D84" s="235">
        <v>133.11991266435626</v>
      </c>
      <c r="E84" s="234">
        <f t="shared" si="4"/>
        <v>55.629601000000001</v>
      </c>
      <c r="F84" s="239"/>
      <c r="G84" s="188" t="str">
        <f t="shared" si="5"/>
        <v/>
      </c>
      <c r="H84" s="236" t="str">
        <f t="shared" si="6"/>
        <v/>
      </c>
      <c r="I84" s="237"/>
    </row>
    <row r="85" spans="1:9">
      <c r="A85" s="232">
        <f t="shared" si="7"/>
        <v>83</v>
      </c>
      <c r="B85" s="233">
        <v>45527</v>
      </c>
      <c r="C85" s="234">
        <v>76.594407000000004</v>
      </c>
      <c r="D85" s="235">
        <v>133.11991266435626</v>
      </c>
      <c r="E85" s="234">
        <f t="shared" si="4"/>
        <v>76.594407000000004</v>
      </c>
      <c r="F85" s="239"/>
      <c r="G85" s="188" t="str">
        <f t="shared" si="5"/>
        <v/>
      </c>
      <c r="H85" s="236" t="str">
        <f t="shared" si="6"/>
        <v/>
      </c>
      <c r="I85" s="237"/>
    </row>
    <row r="86" spans="1:9">
      <c r="A86" s="232">
        <f t="shared" si="7"/>
        <v>84</v>
      </c>
      <c r="B86" s="233">
        <v>45528</v>
      </c>
      <c r="C86" s="234">
        <v>162.84900199999998</v>
      </c>
      <c r="D86" s="235">
        <v>133.11991266435626</v>
      </c>
      <c r="E86" s="234">
        <f t="shared" si="4"/>
        <v>133.11991266435626</v>
      </c>
      <c r="F86" s="239"/>
      <c r="G86" s="188" t="str">
        <f t="shared" si="5"/>
        <v/>
      </c>
      <c r="H86" s="236" t="str">
        <f t="shared" si="6"/>
        <v/>
      </c>
      <c r="I86" s="237"/>
    </row>
    <row r="87" spans="1:9">
      <c r="A87" s="232">
        <f t="shared" si="7"/>
        <v>85</v>
      </c>
      <c r="B87" s="233">
        <v>45529</v>
      </c>
      <c r="C87" s="234">
        <v>193.33785999999998</v>
      </c>
      <c r="D87" s="235">
        <v>133.11991266435626</v>
      </c>
      <c r="E87" s="234">
        <f t="shared" si="4"/>
        <v>133.11991266435626</v>
      </c>
      <c r="F87" s="239"/>
      <c r="G87" s="188" t="str">
        <f t="shared" si="5"/>
        <v/>
      </c>
      <c r="H87" s="236" t="str">
        <f t="shared" si="6"/>
        <v/>
      </c>
      <c r="I87" s="237"/>
    </row>
    <row r="88" spans="1:9">
      <c r="A88" s="232">
        <f t="shared" si="7"/>
        <v>86</v>
      </c>
      <c r="B88" s="233">
        <v>45530</v>
      </c>
      <c r="C88" s="234">
        <v>124.623966</v>
      </c>
      <c r="D88" s="235">
        <v>133.11991266435626</v>
      </c>
      <c r="E88" s="234">
        <f t="shared" si="4"/>
        <v>124.623966</v>
      </c>
      <c r="F88" s="239"/>
      <c r="G88" s="188" t="str">
        <f t="shared" si="5"/>
        <v/>
      </c>
      <c r="H88" s="236" t="str">
        <f t="shared" si="6"/>
        <v/>
      </c>
      <c r="I88" s="237"/>
    </row>
    <row r="89" spans="1:9">
      <c r="A89" s="232">
        <f t="shared" si="7"/>
        <v>87</v>
      </c>
      <c r="B89" s="233">
        <v>45531</v>
      </c>
      <c r="C89" s="234">
        <v>50.358134</v>
      </c>
      <c r="D89" s="235">
        <v>133.11991266435626</v>
      </c>
      <c r="E89" s="234">
        <f t="shared" si="4"/>
        <v>50.358134</v>
      </c>
      <c r="F89" s="239"/>
      <c r="G89" s="188" t="str">
        <f t="shared" si="5"/>
        <v/>
      </c>
      <c r="H89" s="236" t="str">
        <f t="shared" si="6"/>
        <v/>
      </c>
      <c r="I89" s="237"/>
    </row>
    <row r="90" spans="1:9">
      <c r="A90" s="232">
        <f t="shared" si="7"/>
        <v>88</v>
      </c>
      <c r="B90" s="233">
        <v>45532</v>
      </c>
      <c r="C90" s="234">
        <v>100.16805599999999</v>
      </c>
      <c r="D90" s="235">
        <v>133.11991266435626</v>
      </c>
      <c r="E90" s="234">
        <f t="shared" si="4"/>
        <v>100.16805599999999</v>
      </c>
      <c r="F90" s="239"/>
      <c r="G90" s="188" t="str">
        <f t="shared" si="5"/>
        <v/>
      </c>
      <c r="H90" s="236" t="str">
        <f t="shared" si="6"/>
        <v/>
      </c>
      <c r="I90" s="237"/>
    </row>
    <row r="91" spans="1:9">
      <c r="A91" s="232">
        <f t="shared" si="7"/>
        <v>89</v>
      </c>
      <c r="B91" s="233">
        <v>45533</v>
      </c>
      <c r="C91" s="234">
        <v>143.79440700000001</v>
      </c>
      <c r="D91" s="235">
        <v>133.11991266435626</v>
      </c>
      <c r="E91" s="234">
        <f t="shared" si="4"/>
        <v>133.11991266435626</v>
      </c>
      <c r="F91" s="239"/>
      <c r="G91" s="188" t="str">
        <f t="shared" si="5"/>
        <v/>
      </c>
      <c r="H91" s="236" t="str">
        <f t="shared" si="6"/>
        <v/>
      </c>
      <c r="I91" s="237"/>
    </row>
    <row r="92" spans="1:9">
      <c r="A92" s="232">
        <f t="shared" si="7"/>
        <v>90</v>
      </c>
      <c r="B92" s="233">
        <v>45534</v>
      </c>
      <c r="C92" s="234">
        <v>137.00482099999999</v>
      </c>
      <c r="D92" s="235">
        <v>133.11991266435626</v>
      </c>
      <c r="E92" s="234">
        <f t="shared" si="4"/>
        <v>133.11991266435626</v>
      </c>
      <c r="F92" s="239"/>
      <c r="G92" s="188" t="str">
        <f t="shared" si="5"/>
        <v/>
      </c>
      <c r="H92" s="236" t="str">
        <f t="shared" si="6"/>
        <v/>
      </c>
      <c r="I92" s="237"/>
    </row>
    <row r="93" spans="1:9">
      <c r="A93" s="232">
        <f t="shared" si="7"/>
        <v>91</v>
      </c>
      <c r="B93" s="233">
        <v>45535</v>
      </c>
      <c r="C93" s="234">
        <v>117.602396</v>
      </c>
      <c r="D93" s="235">
        <v>133.11991266435626</v>
      </c>
      <c r="E93" s="234">
        <f t="shared" si="4"/>
        <v>117.602396</v>
      </c>
      <c r="F93" s="239"/>
      <c r="G93" s="188" t="str">
        <f t="shared" si="5"/>
        <v/>
      </c>
      <c r="H93" s="236" t="str">
        <f t="shared" si="6"/>
        <v/>
      </c>
      <c r="I93" s="237"/>
    </row>
    <row r="94" spans="1:9">
      <c r="A94" s="232">
        <f t="shared" si="7"/>
        <v>92</v>
      </c>
      <c r="B94" s="233">
        <v>45536</v>
      </c>
      <c r="C94" s="234">
        <v>38.287339000000003</v>
      </c>
      <c r="D94" s="235">
        <v>125.78858308260811</v>
      </c>
      <c r="E94" s="234">
        <f t="shared" si="4"/>
        <v>38.287339000000003</v>
      </c>
      <c r="F94" s="237"/>
      <c r="G94" s="188" t="str">
        <f t="shared" si="5"/>
        <v/>
      </c>
      <c r="H94" s="236" t="str">
        <f t="shared" si="6"/>
        <v/>
      </c>
      <c r="I94" s="237"/>
    </row>
    <row r="95" spans="1:9">
      <c r="A95" s="232">
        <f t="shared" si="7"/>
        <v>93</v>
      </c>
      <c r="B95" s="233">
        <v>45537</v>
      </c>
      <c r="C95" s="234">
        <v>84.727943999999994</v>
      </c>
      <c r="D95" s="235">
        <v>125.78858308260811</v>
      </c>
      <c r="E95" s="234">
        <f t="shared" si="4"/>
        <v>84.727943999999994</v>
      </c>
      <c r="F95" s="239"/>
      <c r="G95" s="188" t="str">
        <f t="shared" si="5"/>
        <v/>
      </c>
      <c r="H95" s="236" t="str">
        <f t="shared" si="6"/>
        <v/>
      </c>
      <c r="I95" s="237"/>
    </row>
    <row r="96" spans="1:9">
      <c r="A96" s="232">
        <f t="shared" si="7"/>
        <v>94</v>
      </c>
      <c r="B96" s="233">
        <v>45538</v>
      </c>
      <c r="C96" s="234">
        <v>145.349459</v>
      </c>
      <c r="D96" s="235">
        <v>125.78858308260811</v>
      </c>
      <c r="E96" s="234">
        <f t="shared" si="4"/>
        <v>125.78858308260811</v>
      </c>
      <c r="F96" s="239"/>
      <c r="G96" s="188" t="str">
        <f t="shared" si="5"/>
        <v/>
      </c>
      <c r="H96" s="236" t="str">
        <f t="shared" si="6"/>
        <v/>
      </c>
      <c r="I96" s="237"/>
    </row>
    <row r="97" spans="1:9">
      <c r="A97" s="232">
        <f t="shared" si="7"/>
        <v>95</v>
      </c>
      <c r="B97" s="233">
        <v>45539</v>
      </c>
      <c r="C97" s="234">
        <v>186.47451100000001</v>
      </c>
      <c r="D97" s="235">
        <v>125.78858308260811</v>
      </c>
      <c r="E97" s="234">
        <f t="shared" si="4"/>
        <v>125.78858308260811</v>
      </c>
      <c r="F97" s="239"/>
      <c r="G97" s="188" t="str">
        <f t="shared" si="5"/>
        <v/>
      </c>
      <c r="H97" s="236" t="str">
        <f t="shared" si="6"/>
        <v/>
      </c>
      <c r="I97" s="237"/>
    </row>
    <row r="98" spans="1:9">
      <c r="A98" s="232">
        <f t="shared" si="7"/>
        <v>96</v>
      </c>
      <c r="B98" s="233">
        <v>45540</v>
      </c>
      <c r="C98" s="234">
        <v>110.478555</v>
      </c>
      <c r="D98" s="235">
        <v>125.78858308260811</v>
      </c>
      <c r="E98" s="234">
        <f t="shared" si="4"/>
        <v>110.478555</v>
      </c>
      <c r="F98" s="239"/>
      <c r="G98" s="188" t="str">
        <f t="shared" si="5"/>
        <v/>
      </c>
      <c r="H98" s="236" t="str">
        <f t="shared" si="6"/>
        <v/>
      </c>
      <c r="I98" s="237"/>
    </row>
    <row r="99" spans="1:9">
      <c r="A99" s="232">
        <f t="shared" si="7"/>
        <v>97</v>
      </c>
      <c r="B99" s="233">
        <v>45541</v>
      </c>
      <c r="C99" s="234">
        <v>140.67824400000001</v>
      </c>
      <c r="D99" s="235">
        <v>125.78858308260811</v>
      </c>
      <c r="E99" s="234">
        <f t="shared" si="4"/>
        <v>125.78858308260811</v>
      </c>
      <c r="F99" s="239"/>
      <c r="G99" s="188" t="str">
        <f t="shared" si="5"/>
        <v/>
      </c>
      <c r="H99" s="236" t="str">
        <f t="shared" si="6"/>
        <v/>
      </c>
      <c r="I99" s="237"/>
    </row>
    <row r="100" spans="1:9">
      <c r="A100" s="232">
        <f t="shared" si="7"/>
        <v>98</v>
      </c>
      <c r="B100" s="233">
        <v>45542</v>
      </c>
      <c r="C100" s="234">
        <v>85.718754999999987</v>
      </c>
      <c r="D100" s="235">
        <v>125.78858308260811</v>
      </c>
      <c r="E100" s="234">
        <f t="shared" si="4"/>
        <v>85.718754999999987</v>
      </c>
      <c r="F100" s="239"/>
      <c r="G100" s="188" t="str">
        <f t="shared" si="5"/>
        <v/>
      </c>
      <c r="H100" s="236" t="str">
        <f t="shared" si="6"/>
        <v/>
      </c>
      <c r="I100" s="237"/>
    </row>
    <row r="101" spans="1:9">
      <c r="A101" s="232">
        <f t="shared" si="7"/>
        <v>99</v>
      </c>
      <c r="B101" s="233">
        <v>45543</v>
      </c>
      <c r="C101" s="234">
        <v>96.344214999999991</v>
      </c>
      <c r="D101" s="235">
        <v>125.78858308260811</v>
      </c>
      <c r="E101" s="234">
        <f t="shared" si="4"/>
        <v>96.344214999999991</v>
      </c>
      <c r="F101" s="239"/>
      <c r="G101" s="188" t="str">
        <f t="shared" si="5"/>
        <v/>
      </c>
      <c r="H101" s="236" t="str">
        <f t="shared" si="6"/>
        <v/>
      </c>
      <c r="I101" s="237"/>
    </row>
    <row r="102" spans="1:9">
      <c r="A102" s="232">
        <f t="shared" si="7"/>
        <v>100</v>
      </c>
      <c r="B102" s="233">
        <v>45544</v>
      </c>
      <c r="C102" s="234">
        <v>138.56027799999998</v>
      </c>
      <c r="D102" s="235">
        <v>125.78858308260811</v>
      </c>
      <c r="E102" s="234">
        <f t="shared" si="4"/>
        <v>125.78858308260811</v>
      </c>
      <c r="F102" s="239"/>
      <c r="G102" s="188" t="str">
        <f t="shared" si="5"/>
        <v/>
      </c>
      <c r="H102" s="236" t="str">
        <f t="shared" si="6"/>
        <v/>
      </c>
      <c r="I102" s="237"/>
    </row>
    <row r="103" spans="1:9">
      <c r="A103" s="232">
        <f t="shared" si="7"/>
        <v>101</v>
      </c>
      <c r="B103" s="233">
        <v>45545</v>
      </c>
      <c r="C103" s="234">
        <v>157.10657199999997</v>
      </c>
      <c r="D103" s="235">
        <v>125.78858308260811</v>
      </c>
      <c r="E103" s="234">
        <f t="shared" si="4"/>
        <v>125.78858308260811</v>
      </c>
      <c r="F103" s="239"/>
      <c r="G103" s="188" t="str">
        <f t="shared" si="5"/>
        <v/>
      </c>
      <c r="H103" s="236" t="str">
        <f t="shared" si="6"/>
        <v/>
      </c>
      <c r="I103" s="237"/>
    </row>
    <row r="104" spans="1:9">
      <c r="A104" s="232">
        <f t="shared" si="7"/>
        <v>102</v>
      </c>
      <c r="B104" s="233">
        <v>45546</v>
      </c>
      <c r="C104" s="234">
        <v>169.09022099999999</v>
      </c>
      <c r="D104" s="235">
        <v>125.78858308260811</v>
      </c>
      <c r="E104" s="234">
        <f t="shared" si="4"/>
        <v>125.78858308260811</v>
      </c>
      <c r="F104" s="239"/>
      <c r="G104" s="188" t="str">
        <f t="shared" si="5"/>
        <v/>
      </c>
      <c r="H104" s="236" t="str">
        <f t="shared" si="6"/>
        <v/>
      </c>
      <c r="I104" s="237"/>
    </row>
    <row r="105" spans="1:9">
      <c r="A105" s="232">
        <f t="shared" si="7"/>
        <v>103</v>
      </c>
      <c r="B105" s="233">
        <v>45547</v>
      </c>
      <c r="C105" s="234">
        <v>184.00566500000002</v>
      </c>
      <c r="D105" s="235">
        <v>125.78858308260811</v>
      </c>
      <c r="E105" s="234">
        <f t="shared" si="4"/>
        <v>125.78858308260811</v>
      </c>
      <c r="F105" s="239"/>
      <c r="G105" s="188" t="str">
        <f t="shared" si="5"/>
        <v/>
      </c>
      <c r="H105" s="236" t="str">
        <f t="shared" si="6"/>
        <v/>
      </c>
      <c r="I105" s="237"/>
    </row>
    <row r="106" spans="1:9">
      <c r="A106" s="232">
        <f t="shared" si="7"/>
        <v>104</v>
      </c>
      <c r="B106" s="233">
        <v>45548</v>
      </c>
      <c r="C106" s="234">
        <v>246.69072200000002</v>
      </c>
      <c r="D106" s="235">
        <v>125.78858308260811</v>
      </c>
      <c r="E106" s="234">
        <f t="shared" si="4"/>
        <v>125.78858308260811</v>
      </c>
      <c r="F106" s="239"/>
      <c r="G106" s="188" t="str">
        <f t="shared" si="5"/>
        <v/>
      </c>
      <c r="H106" s="236" t="str">
        <f t="shared" si="6"/>
        <v/>
      </c>
      <c r="I106" s="237"/>
    </row>
    <row r="107" spans="1:9">
      <c r="A107" s="232">
        <f t="shared" si="7"/>
        <v>105</v>
      </c>
      <c r="B107" s="233">
        <v>45549</v>
      </c>
      <c r="C107" s="234">
        <v>162.56204499999998</v>
      </c>
      <c r="D107" s="235">
        <v>125.78858308260811</v>
      </c>
      <c r="E107" s="234">
        <f t="shared" si="4"/>
        <v>125.78858308260811</v>
      </c>
      <c r="F107" s="239"/>
      <c r="G107" s="188" t="str">
        <f t="shared" si="5"/>
        <v/>
      </c>
      <c r="H107" s="236" t="str">
        <f t="shared" si="6"/>
        <v/>
      </c>
      <c r="I107" s="237"/>
    </row>
    <row r="108" spans="1:9">
      <c r="A108" s="232">
        <f t="shared" si="7"/>
        <v>106</v>
      </c>
      <c r="B108" s="233">
        <v>45550</v>
      </c>
      <c r="C108" s="234">
        <v>180.21814700000002</v>
      </c>
      <c r="D108" s="235">
        <v>125.78858308260811</v>
      </c>
      <c r="E108" s="234">
        <f t="shared" si="4"/>
        <v>125.78858308260811</v>
      </c>
      <c r="F108" s="239"/>
      <c r="G108" s="188" t="str">
        <f t="shared" si="5"/>
        <v>S</v>
      </c>
      <c r="H108" s="236" t="str">
        <f t="shared" si="6"/>
        <v>125,8</v>
      </c>
      <c r="I108" s="237"/>
    </row>
    <row r="109" spans="1:9">
      <c r="A109" s="232">
        <f t="shared" si="7"/>
        <v>107</v>
      </c>
      <c r="B109" s="233">
        <v>45551</v>
      </c>
      <c r="C109" s="234">
        <v>258.33612900000003</v>
      </c>
      <c r="D109" s="235">
        <v>125.78858308260811</v>
      </c>
      <c r="E109" s="234">
        <f t="shared" si="4"/>
        <v>125.78858308260811</v>
      </c>
      <c r="F109" s="239"/>
      <c r="G109" s="188" t="str">
        <f t="shared" si="5"/>
        <v/>
      </c>
      <c r="H109" s="236" t="str">
        <f t="shared" si="6"/>
        <v/>
      </c>
      <c r="I109" s="237"/>
    </row>
    <row r="110" spans="1:9">
      <c r="A110" s="232">
        <f t="shared" si="7"/>
        <v>108</v>
      </c>
      <c r="B110" s="233">
        <v>45552</v>
      </c>
      <c r="C110" s="234">
        <v>267.09059000000002</v>
      </c>
      <c r="D110" s="235">
        <v>125.78858308260811</v>
      </c>
      <c r="E110" s="234">
        <f t="shared" si="4"/>
        <v>125.78858308260811</v>
      </c>
      <c r="F110" s="239"/>
      <c r="G110" s="188" t="str">
        <f t="shared" si="5"/>
        <v/>
      </c>
      <c r="H110" s="236" t="str">
        <f t="shared" si="6"/>
        <v/>
      </c>
      <c r="I110" s="237"/>
    </row>
    <row r="111" spans="1:9">
      <c r="A111" s="232">
        <f t="shared" si="7"/>
        <v>109</v>
      </c>
      <c r="B111" s="233">
        <v>45553</v>
      </c>
      <c r="C111" s="234">
        <v>170.14048499999998</v>
      </c>
      <c r="D111" s="235">
        <v>125.78858308260811</v>
      </c>
      <c r="E111" s="234">
        <f t="shared" si="4"/>
        <v>125.78858308260811</v>
      </c>
      <c r="F111" s="239"/>
      <c r="G111" s="188" t="str">
        <f t="shared" si="5"/>
        <v/>
      </c>
      <c r="H111" s="236" t="str">
        <f t="shared" si="6"/>
        <v/>
      </c>
      <c r="I111" s="237"/>
    </row>
    <row r="112" spans="1:9">
      <c r="A112" s="232">
        <f t="shared" si="7"/>
        <v>110</v>
      </c>
      <c r="B112" s="233">
        <v>45554</v>
      </c>
      <c r="C112" s="234">
        <v>98.345635999999999</v>
      </c>
      <c r="D112" s="235">
        <v>125.78858308260811</v>
      </c>
      <c r="E112" s="234">
        <f t="shared" si="4"/>
        <v>98.345635999999999</v>
      </c>
      <c r="F112" s="239"/>
      <c r="G112" s="188" t="str">
        <f t="shared" si="5"/>
        <v/>
      </c>
      <c r="H112" s="236" t="str">
        <f t="shared" si="6"/>
        <v/>
      </c>
      <c r="I112" s="237"/>
    </row>
    <row r="113" spans="1:9">
      <c r="A113" s="232">
        <f t="shared" si="7"/>
        <v>111</v>
      </c>
      <c r="B113" s="233">
        <v>45555</v>
      </c>
      <c r="C113" s="234">
        <v>83.848354999999998</v>
      </c>
      <c r="D113" s="235">
        <v>125.78858308260811</v>
      </c>
      <c r="E113" s="234">
        <f t="shared" si="4"/>
        <v>83.848354999999998</v>
      </c>
      <c r="F113" s="239"/>
      <c r="G113" s="188" t="str">
        <f t="shared" si="5"/>
        <v/>
      </c>
      <c r="H113" s="236" t="str">
        <f t="shared" si="6"/>
        <v/>
      </c>
      <c r="I113" s="237"/>
    </row>
    <row r="114" spans="1:9">
      <c r="A114" s="232">
        <f t="shared" si="7"/>
        <v>112</v>
      </c>
      <c r="B114" s="233">
        <v>45556</v>
      </c>
      <c r="C114" s="234">
        <v>102.84054699999999</v>
      </c>
      <c r="D114" s="235">
        <v>125.78858308260811</v>
      </c>
      <c r="E114" s="234">
        <f t="shared" si="4"/>
        <v>102.84054699999999</v>
      </c>
      <c r="F114" s="239"/>
      <c r="G114" s="188" t="str">
        <f t="shared" si="5"/>
        <v/>
      </c>
      <c r="H114" s="236" t="str">
        <f t="shared" si="6"/>
        <v/>
      </c>
      <c r="I114" s="237"/>
    </row>
    <row r="115" spans="1:9">
      <c r="A115" s="232">
        <f t="shared" si="7"/>
        <v>113</v>
      </c>
      <c r="B115" s="233">
        <v>45557</v>
      </c>
      <c r="C115" s="234">
        <v>48.319129000000004</v>
      </c>
      <c r="D115" s="235">
        <v>125.78858308260811</v>
      </c>
      <c r="E115" s="234">
        <f t="shared" si="4"/>
        <v>48.319129000000004</v>
      </c>
      <c r="F115" s="239"/>
      <c r="G115" s="188" t="str">
        <f t="shared" si="5"/>
        <v/>
      </c>
      <c r="H115" s="236" t="str">
        <f t="shared" si="6"/>
        <v/>
      </c>
      <c r="I115" s="237"/>
    </row>
    <row r="116" spans="1:9">
      <c r="A116" s="232">
        <f t="shared" si="7"/>
        <v>114</v>
      </c>
      <c r="B116" s="233">
        <v>45558</v>
      </c>
      <c r="C116" s="234">
        <v>82.914781999999988</v>
      </c>
      <c r="D116" s="235">
        <v>125.78858308260811</v>
      </c>
      <c r="E116" s="234">
        <f t="shared" si="4"/>
        <v>82.914781999999988</v>
      </c>
      <c r="F116" s="239"/>
      <c r="G116" s="188" t="str">
        <f t="shared" si="5"/>
        <v/>
      </c>
      <c r="H116" s="236" t="str">
        <f t="shared" si="6"/>
        <v/>
      </c>
      <c r="I116" s="237"/>
    </row>
    <row r="117" spans="1:9">
      <c r="A117" s="232">
        <f t="shared" si="7"/>
        <v>115</v>
      </c>
      <c r="B117" s="233">
        <v>45559</v>
      </c>
      <c r="C117" s="234">
        <v>116.58649399999999</v>
      </c>
      <c r="D117" s="235">
        <v>125.78858308260811</v>
      </c>
      <c r="E117" s="234">
        <f t="shared" si="4"/>
        <v>116.58649399999999</v>
      </c>
      <c r="F117" s="239"/>
      <c r="G117" s="188" t="str">
        <f t="shared" si="5"/>
        <v/>
      </c>
      <c r="H117" s="236" t="str">
        <f t="shared" si="6"/>
        <v/>
      </c>
      <c r="I117" s="237"/>
    </row>
    <row r="118" spans="1:9">
      <c r="A118" s="232">
        <f t="shared" si="7"/>
        <v>116</v>
      </c>
      <c r="B118" s="233">
        <v>45560</v>
      </c>
      <c r="C118" s="234">
        <v>263.25730600000003</v>
      </c>
      <c r="D118" s="235">
        <v>125.78858308260811</v>
      </c>
      <c r="E118" s="234">
        <f t="shared" si="4"/>
        <v>125.78858308260811</v>
      </c>
      <c r="F118" s="239"/>
      <c r="G118" s="188" t="str">
        <f t="shared" si="5"/>
        <v/>
      </c>
      <c r="H118" s="236" t="str">
        <f t="shared" si="6"/>
        <v/>
      </c>
      <c r="I118" s="237"/>
    </row>
    <row r="119" spans="1:9">
      <c r="A119" s="232">
        <f t="shared" si="7"/>
        <v>117</v>
      </c>
      <c r="B119" s="233">
        <v>45561</v>
      </c>
      <c r="C119" s="234">
        <v>350.39831500000003</v>
      </c>
      <c r="D119" s="235">
        <v>125.78858308260811</v>
      </c>
      <c r="E119" s="234">
        <f t="shared" si="4"/>
        <v>125.78858308260811</v>
      </c>
      <c r="F119" s="239"/>
      <c r="G119" s="188" t="str">
        <f t="shared" si="5"/>
        <v/>
      </c>
      <c r="H119" s="236" t="str">
        <f t="shared" si="6"/>
        <v/>
      </c>
      <c r="I119" s="237"/>
    </row>
    <row r="120" spans="1:9">
      <c r="A120" s="232">
        <f t="shared" si="7"/>
        <v>118</v>
      </c>
      <c r="B120" s="233">
        <v>45562</v>
      </c>
      <c r="C120" s="234">
        <v>250.77285800000001</v>
      </c>
      <c r="D120" s="235">
        <v>125.78858308260811</v>
      </c>
      <c r="E120" s="234">
        <f t="shared" si="4"/>
        <v>125.78858308260811</v>
      </c>
      <c r="F120" s="239"/>
      <c r="G120" s="188" t="str">
        <f t="shared" si="5"/>
        <v/>
      </c>
      <c r="H120" s="236" t="str">
        <f t="shared" si="6"/>
        <v/>
      </c>
      <c r="I120" s="237"/>
    </row>
    <row r="121" spans="1:9">
      <c r="A121" s="232">
        <f t="shared" si="7"/>
        <v>119</v>
      </c>
      <c r="B121" s="233">
        <v>45563</v>
      </c>
      <c r="C121" s="234">
        <v>123.24835899999999</v>
      </c>
      <c r="D121" s="235">
        <v>125.78858308260811</v>
      </c>
      <c r="E121" s="234">
        <f t="shared" si="4"/>
        <v>123.24835899999999</v>
      </c>
      <c r="F121" s="239"/>
      <c r="G121" s="188" t="str">
        <f t="shared" si="5"/>
        <v/>
      </c>
      <c r="H121" s="236" t="str">
        <f t="shared" si="6"/>
        <v/>
      </c>
      <c r="I121" s="237"/>
    </row>
    <row r="122" spans="1:9">
      <c r="A122" s="232">
        <f t="shared" si="7"/>
        <v>120</v>
      </c>
      <c r="B122" s="233">
        <v>45564</v>
      </c>
      <c r="C122" s="234">
        <v>133.95177999999999</v>
      </c>
      <c r="D122" s="235">
        <v>125.78858308260811</v>
      </c>
      <c r="E122" s="234">
        <f t="shared" si="4"/>
        <v>125.78858308260811</v>
      </c>
      <c r="F122" s="239"/>
      <c r="G122" s="188" t="str">
        <f t="shared" si="5"/>
        <v/>
      </c>
      <c r="H122" s="236" t="str">
        <f t="shared" si="6"/>
        <v/>
      </c>
      <c r="I122" s="237"/>
    </row>
    <row r="123" spans="1:9">
      <c r="A123" s="232">
        <f t="shared" si="7"/>
        <v>121</v>
      </c>
      <c r="B123" s="233">
        <v>45565</v>
      </c>
      <c r="C123" s="234">
        <v>71.803145000000001</v>
      </c>
      <c r="D123" s="235">
        <v>125.78858308260811</v>
      </c>
      <c r="E123" s="234">
        <f t="shared" si="4"/>
        <v>71.803145000000001</v>
      </c>
      <c r="F123" s="239"/>
      <c r="G123" s="188" t="str">
        <f t="shared" si="5"/>
        <v/>
      </c>
      <c r="H123" s="236" t="str">
        <f t="shared" si="6"/>
        <v/>
      </c>
      <c r="I123" s="237"/>
    </row>
    <row r="124" spans="1:9">
      <c r="A124" s="232">
        <f t="shared" si="7"/>
        <v>122</v>
      </c>
      <c r="B124" s="233">
        <v>45566</v>
      </c>
      <c r="C124" s="234">
        <v>129.46452100000002</v>
      </c>
      <c r="D124" s="235">
        <v>158.80210789564634</v>
      </c>
      <c r="E124" s="234">
        <f t="shared" si="4"/>
        <v>129.46452100000002</v>
      </c>
      <c r="F124" s="237"/>
      <c r="G124" s="188" t="str">
        <f t="shared" si="5"/>
        <v/>
      </c>
      <c r="H124" s="236" t="str">
        <f t="shared" si="6"/>
        <v/>
      </c>
      <c r="I124" s="237"/>
    </row>
    <row r="125" spans="1:9">
      <c r="A125" s="232">
        <f t="shared" si="7"/>
        <v>123</v>
      </c>
      <c r="B125" s="233">
        <v>45567</v>
      </c>
      <c r="C125" s="234">
        <v>227.67573999999999</v>
      </c>
      <c r="D125" s="235">
        <v>158.80210789564634</v>
      </c>
      <c r="E125" s="234">
        <f t="shared" si="4"/>
        <v>158.80210789564634</v>
      </c>
      <c r="F125" s="239"/>
      <c r="G125" s="188" t="str">
        <f t="shared" si="5"/>
        <v/>
      </c>
      <c r="H125" s="236" t="str">
        <f t="shared" si="6"/>
        <v/>
      </c>
      <c r="I125" s="237"/>
    </row>
    <row r="126" spans="1:9">
      <c r="A126" s="232">
        <f t="shared" si="7"/>
        <v>124</v>
      </c>
      <c r="B126" s="233">
        <v>45568</v>
      </c>
      <c r="C126" s="234">
        <v>228.86594999999997</v>
      </c>
      <c r="D126" s="235">
        <v>158.80210789564634</v>
      </c>
      <c r="E126" s="234">
        <f t="shared" si="4"/>
        <v>158.80210789564634</v>
      </c>
      <c r="F126" s="239"/>
      <c r="G126" s="188" t="str">
        <f t="shared" si="5"/>
        <v/>
      </c>
      <c r="H126" s="236" t="str">
        <f t="shared" si="6"/>
        <v/>
      </c>
      <c r="I126" s="237"/>
    </row>
    <row r="127" spans="1:9">
      <c r="A127" s="232">
        <f t="shared" si="7"/>
        <v>125</v>
      </c>
      <c r="B127" s="233">
        <v>45569</v>
      </c>
      <c r="C127" s="234">
        <v>130.383307</v>
      </c>
      <c r="D127" s="235">
        <v>158.80210789564634</v>
      </c>
      <c r="E127" s="234">
        <f t="shared" si="4"/>
        <v>130.383307</v>
      </c>
      <c r="F127" s="239"/>
      <c r="G127" s="188" t="str">
        <f t="shared" si="5"/>
        <v/>
      </c>
      <c r="H127" s="236" t="str">
        <f t="shared" si="6"/>
        <v/>
      </c>
      <c r="I127" s="237"/>
    </row>
    <row r="128" spans="1:9">
      <c r="A128" s="232">
        <f t="shared" si="7"/>
        <v>126</v>
      </c>
      <c r="B128" s="233">
        <v>45570</v>
      </c>
      <c r="C128" s="234">
        <v>146.60773999999998</v>
      </c>
      <c r="D128" s="235">
        <v>158.80210789564634</v>
      </c>
      <c r="E128" s="234">
        <f t="shared" si="4"/>
        <v>146.60773999999998</v>
      </c>
      <c r="F128" s="239"/>
      <c r="G128" s="188" t="str">
        <f t="shared" si="5"/>
        <v/>
      </c>
      <c r="H128" s="236" t="str">
        <f t="shared" si="6"/>
        <v/>
      </c>
      <c r="I128" s="237"/>
    </row>
    <row r="129" spans="1:9">
      <c r="A129" s="232">
        <f t="shared" si="7"/>
        <v>127</v>
      </c>
      <c r="B129" s="233">
        <v>45571</v>
      </c>
      <c r="C129" s="234">
        <v>217.86871600000001</v>
      </c>
      <c r="D129" s="235">
        <v>158.80210789564634</v>
      </c>
      <c r="E129" s="234">
        <f t="shared" si="4"/>
        <v>158.80210789564634</v>
      </c>
      <c r="F129" s="239"/>
      <c r="G129" s="188" t="str">
        <f t="shared" si="5"/>
        <v/>
      </c>
      <c r="H129" s="236" t="str">
        <f t="shared" si="6"/>
        <v/>
      </c>
      <c r="I129" s="237"/>
    </row>
    <row r="130" spans="1:9">
      <c r="A130" s="232">
        <f t="shared" si="7"/>
        <v>128</v>
      </c>
      <c r="B130" s="233">
        <v>45572</v>
      </c>
      <c r="C130" s="234">
        <v>287.012494</v>
      </c>
      <c r="D130" s="235">
        <v>158.80210789564634</v>
      </c>
      <c r="E130" s="234">
        <f t="shared" si="4"/>
        <v>158.80210789564634</v>
      </c>
      <c r="F130" s="239"/>
      <c r="G130" s="188" t="str">
        <f t="shared" si="5"/>
        <v/>
      </c>
      <c r="H130" s="236" t="str">
        <f t="shared" si="6"/>
        <v/>
      </c>
      <c r="I130" s="237"/>
    </row>
    <row r="131" spans="1:9">
      <c r="A131" s="232">
        <f t="shared" si="7"/>
        <v>129</v>
      </c>
      <c r="B131" s="233">
        <v>45573</v>
      </c>
      <c r="C131" s="234">
        <v>330.74746599999997</v>
      </c>
      <c r="D131" s="235">
        <v>158.80210789564634</v>
      </c>
      <c r="E131" s="234">
        <f t="shared" ref="E131:E194" si="8">IF(C131&gt;D131,D131,C131)</f>
        <v>158.80210789564634</v>
      </c>
      <c r="F131" s="239"/>
      <c r="G131" s="188" t="str">
        <f t="shared" ref="G131:G194" si="9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36" t="str">
        <f t="shared" ref="H131:H194" si="10">IF(DAY($B131)=15,TEXT(D131,"#,0"),"")</f>
        <v/>
      </c>
      <c r="I131" s="237"/>
    </row>
    <row r="132" spans="1:9">
      <c r="A132" s="232">
        <f t="shared" ref="A132:A195" si="11">+A131+1</f>
        <v>130</v>
      </c>
      <c r="B132" s="233">
        <v>45574</v>
      </c>
      <c r="C132" s="234">
        <v>332.261639</v>
      </c>
      <c r="D132" s="235">
        <v>158.80210789564634</v>
      </c>
      <c r="E132" s="234">
        <f t="shared" si="8"/>
        <v>158.80210789564634</v>
      </c>
      <c r="F132" s="239"/>
      <c r="G132" s="188" t="str">
        <f t="shared" si="9"/>
        <v/>
      </c>
      <c r="H132" s="236" t="str">
        <f t="shared" si="10"/>
        <v/>
      </c>
      <c r="I132" s="237"/>
    </row>
    <row r="133" spans="1:9">
      <c r="A133" s="232">
        <f t="shared" si="11"/>
        <v>131</v>
      </c>
      <c r="B133" s="233">
        <v>45575</v>
      </c>
      <c r="C133" s="234">
        <v>157.38539699999998</v>
      </c>
      <c r="D133" s="235">
        <v>158.80210789564634</v>
      </c>
      <c r="E133" s="234">
        <f t="shared" si="8"/>
        <v>157.38539699999998</v>
      </c>
      <c r="F133" s="239"/>
      <c r="G133" s="188" t="str">
        <f t="shared" si="9"/>
        <v/>
      </c>
      <c r="H133" s="236" t="str">
        <f t="shared" si="10"/>
        <v/>
      </c>
      <c r="I133" s="237"/>
    </row>
    <row r="134" spans="1:9">
      <c r="A134" s="232">
        <f t="shared" si="11"/>
        <v>132</v>
      </c>
      <c r="B134" s="233">
        <v>45576</v>
      </c>
      <c r="C134" s="234">
        <v>128.78697199999999</v>
      </c>
      <c r="D134" s="235">
        <v>158.80210789564634</v>
      </c>
      <c r="E134" s="234">
        <f t="shared" si="8"/>
        <v>128.78697199999999</v>
      </c>
      <c r="F134" s="239"/>
      <c r="G134" s="188" t="str">
        <f t="shared" si="9"/>
        <v/>
      </c>
      <c r="H134" s="236" t="str">
        <f t="shared" si="10"/>
        <v/>
      </c>
      <c r="I134" s="237"/>
    </row>
    <row r="135" spans="1:9">
      <c r="A135" s="232">
        <f t="shared" si="11"/>
        <v>133</v>
      </c>
      <c r="B135" s="233">
        <v>45577</v>
      </c>
      <c r="C135" s="234">
        <v>164.63576699999999</v>
      </c>
      <c r="D135" s="235">
        <v>158.80210789564634</v>
      </c>
      <c r="E135" s="234">
        <f t="shared" si="8"/>
        <v>158.80210789564634</v>
      </c>
      <c r="F135" s="239"/>
      <c r="G135" s="188" t="str">
        <f t="shared" si="9"/>
        <v/>
      </c>
      <c r="H135" s="236" t="str">
        <f t="shared" si="10"/>
        <v/>
      </c>
      <c r="I135" s="237"/>
    </row>
    <row r="136" spans="1:9">
      <c r="A136" s="232">
        <f t="shared" si="11"/>
        <v>134</v>
      </c>
      <c r="B136" s="233">
        <v>45578</v>
      </c>
      <c r="C136" s="234">
        <v>72.950097</v>
      </c>
      <c r="D136" s="235">
        <v>158.80210789564634</v>
      </c>
      <c r="E136" s="234">
        <f t="shared" si="8"/>
        <v>72.950097</v>
      </c>
      <c r="F136" s="239"/>
      <c r="G136" s="188" t="str">
        <f t="shared" si="9"/>
        <v/>
      </c>
      <c r="H136" s="236" t="str">
        <f t="shared" si="10"/>
        <v/>
      </c>
      <c r="I136" s="237"/>
    </row>
    <row r="137" spans="1:9">
      <c r="A137" s="232">
        <f t="shared" si="11"/>
        <v>135</v>
      </c>
      <c r="B137" s="233">
        <v>45579</v>
      </c>
      <c r="C137" s="234">
        <v>81.066305</v>
      </c>
      <c r="D137" s="235">
        <v>158.80210789564634</v>
      </c>
      <c r="E137" s="234">
        <f t="shared" si="8"/>
        <v>81.066305</v>
      </c>
      <c r="F137" s="239"/>
      <c r="G137" s="188" t="str">
        <f t="shared" si="9"/>
        <v/>
      </c>
      <c r="H137" s="236" t="str">
        <f t="shared" si="10"/>
        <v/>
      </c>
      <c r="I137" s="237"/>
    </row>
    <row r="138" spans="1:9">
      <c r="A138" s="232">
        <f t="shared" si="11"/>
        <v>136</v>
      </c>
      <c r="B138" s="233">
        <v>45580</v>
      </c>
      <c r="C138" s="234">
        <v>199.62093100000001</v>
      </c>
      <c r="D138" s="235">
        <v>158.80210789564634</v>
      </c>
      <c r="E138" s="234">
        <f t="shared" si="8"/>
        <v>158.80210789564634</v>
      </c>
      <c r="F138" s="239"/>
      <c r="G138" s="188" t="str">
        <f t="shared" si="9"/>
        <v>O</v>
      </c>
      <c r="H138" s="236" t="str">
        <f t="shared" si="10"/>
        <v>158,8</v>
      </c>
      <c r="I138" s="237"/>
    </row>
    <row r="139" spans="1:9">
      <c r="A139" s="232">
        <f t="shared" si="11"/>
        <v>137</v>
      </c>
      <c r="B139" s="233">
        <v>45581</v>
      </c>
      <c r="C139" s="234">
        <v>233.082168</v>
      </c>
      <c r="D139" s="235">
        <v>158.80210789564634</v>
      </c>
      <c r="E139" s="234">
        <f t="shared" si="8"/>
        <v>158.80210789564634</v>
      </c>
      <c r="F139" s="239"/>
      <c r="G139" s="188" t="str">
        <f t="shared" si="9"/>
        <v/>
      </c>
      <c r="H139" s="236" t="str">
        <f t="shared" si="10"/>
        <v/>
      </c>
      <c r="I139" s="237"/>
    </row>
    <row r="140" spans="1:9">
      <c r="A140" s="232">
        <f t="shared" si="11"/>
        <v>138</v>
      </c>
      <c r="B140" s="233">
        <v>45582</v>
      </c>
      <c r="C140" s="234">
        <v>244.566823</v>
      </c>
      <c r="D140" s="235">
        <v>158.80210789564634</v>
      </c>
      <c r="E140" s="234">
        <f t="shared" si="8"/>
        <v>158.80210789564634</v>
      </c>
      <c r="F140" s="239"/>
      <c r="G140" s="188" t="str">
        <f t="shared" si="9"/>
        <v/>
      </c>
      <c r="H140" s="236" t="str">
        <f t="shared" si="10"/>
        <v/>
      </c>
      <c r="I140" s="237"/>
    </row>
    <row r="141" spans="1:9">
      <c r="A141" s="232">
        <f t="shared" si="11"/>
        <v>139</v>
      </c>
      <c r="B141" s="233">
        <v>45583</v>
      </c>
      <c r="C141" s="234">
        <v>246.56920399999998</v>
      </c>
      <c r="D141" s="235">
        <v>158.80210789564634</v>
      </c>
      <c r="E141" s="234">
        <f t="shared" si="8"/>
        <v>158.80210789564634</v>
      </c>
      <c r="F141" s="239"/>
      <c r="G141" s="188" t="str">
        <f t="shared" si="9"/>
        <v/>
      </c>
      <c r="H141" s="236" t="str">
        <f t="shared" si="10"/>
        <v/>
      </c>
      <c r="I141" s="237"/>
    </row>
    <row r="142" spans="1:9">
      <c r="A142" s="232">
        <f t="shared" si="11"/>
        <v>140</v>
      </c>
      <c r="B142" s="233">
        <v>45584</v>
      </c>
      <c r="C142" s="234">
        <v>171.43222599999999</v>
      </c>
      <c r="D142" s="235">
        <v>158.80210789564634</v>
      </c>
      <c r="E142" s="234">
        <f t="shared" si="8"/>
        <v>158.80210789564634</v>
      </c>
      <c r="F142" s="239"/>
      <c r="G142" s="188" t="str">
        <f t="shared" si="9"/>
        <v/>
      </c>
      <c r="H142" s="236" t="str">
        <f t="shared" si="10"/>
        <v/>
      </c>
      <c r="I142" s="237"/>
    </row>
    <row r="143" spans="1:9">
      <c r="A143" s="232">
        <f t="shared" si="11"/>
        <v>141</v>
      </c>
      <c r="B143" s="233">
        <v>45585</v>
      </c>
      <c r="C143" s="234">
        <v>117.052217</v>
      </c>
      <c r="D143" s="235">
        <v>158.80210789564634</v>
      </c>
      <c r="E143" s="234">
        <f t="shared" si="8"/>
        <v>117.052217</v>
      </c>
      <c r="F143" s="239"/>
      <c r="G143" s="188" t="str">
        <f t="shared" si="9"/>
        <v/>
      </c>
      <c r="H143" s="236" t="str">
        <f t="shared" si="10"/>
        <v/>
      </c>
      <c r="I143" s="237"/>
    </row>
    <row r="144" spans="1:9">
      <c r="A144" s="232">
        <f t="shared" si="11"/>
        <v>142</v>
      </c>
      <c r="B144" s="233">
        <v>45586</v>
      </c>
      <c r="C144" s="234">
        <v>83.544494</v>
      </c>
      <c r="D144" s="235">
        <v>158.80210789564634</v>
      </c>
      <c r="E144" s="234">
        <f t="shared" si="8"/>
        <v>83.544494</v>
      </c>
      <c r="F144" s="239"/>
      <c r="G144" s="188" t="str">
        <f t="shared" si="9"/>
        <v/>
      </c>
      <c r="H144" s="236" t="str">
        <f t="shared" si="10"/>
        <v/>
      </c>
      <c r="I144" s="237"/>
    </row>
    <row r="145" spans="1:9">
      <c r="A145" s="232">
        <f t="shared" si="11"/>
        <v>143</v>
      </c>
      <c r="B145" s="233">
        <v>45587</v>
      </c>
      <c r="C145" s="234">
        <v>162.68180999999998</v>
      </c>
      <c r="D145" s="235">
        <v>158.80210789564634</v>
      </c>
      <c r="E145" s="234">
        <f t="shared" si="8"/>
        <v>158.80210789564634</v>
      </c>
      <c r="F145" s="239"/>
      <c r="G145" s="188" t="str">
        <f t="shared" si="9"/>
        <v/>
      </c>
      <c r="H145" s="236" t="str">
        <f t="shared" si="10"/>
        <v/>
      </c>
      <c r="I145" s="237"/>
    </row>
    <row r="146" spans="1:9">
      <c r="A146" s="232">
        <f t="shared" si="11"/>
        <v>144</v>
      </c>
      <c r="B146" s="233">
        <v>45588</v>
      </c>
      <c r="C146" s="234">
        <v>120.46044999999999</v>
      </c>
      <c r="D146" s="235">
        <v>158.80210789564634</v>
      </c>
      <c r="E146" s="234">
        <f t="shared" si="8"/>
        <v>120.46044999999999</v>
      </c>
      <c r="F146" s="239"/>
      <c r="G146" s="188" t="str">
        <f t="shared" si="9"/>
        <v/>
      </c>
      <c r="H146" s="236" t="str">
        <f t="shared" si="10"/>
        <v/>
      </c>
      <c r="I146" s="237"/>
    </row>
    <row r="147" spans="1:9">
      <c r="A147" s="232">
        <f t="shared" si="11"/>
        <v>145</v>
      </c>
      <c r="B147" s="233">
        <v>45589</v>
      </c>
      <c r="C147" s="234">
        <v>175.40832800000001</v>
      </c>
      <c r="D147" s="235">
        <v>158.80210789564634</v>
      </c>
      <c r="E147" s="234">
        <f t="shared" si="8"/>
        <v>158.80210789564634</v>
      </c>
      <c r="F147" s="239"/>
      <c r="G147" s="188" t="str">
        <f t="shared" si="9"/>
        <v/>
      </c>
      <c r="H147" s="236" t="str">
        <f t="shared" si="10"/>
        <v/>
      </c>
      <c r="I147" s="237"/>
    </row>
    <row r="148" spans="1:9">
      <c r="A148" s="232">
        <f t="shared" si="11"/>
        <v>146</v>
      </c>
      <c r="B148" s="233">
        <v>45590</v>
      </c>
      <c r="C148" s="234">
        <v>151.21921499999999</v>
      </c>
      <c r="D148" s="235">
        <v>158.80210789564634</v>
      </c>
      <c r="E148" s="234">
        <f t="shared" si="8"/>
        <v>151.21921499999999</v>
      </c>
      <c r="F148" s="239"/>
      <c r="G148" s="188" t="str">
        <f t="shared" si="9"/>
        <v/>
      </c>
      <c r="H148" s="236" t="str">
        <f t="shared" si="10"/>
        <v/>
      </c>
      <c r="I148" s="237"/>
    </row>
    <row r="149" spans="1:9">
      <c r="A149" s="232">
        <f t="shared" si="11"/>
        <v>147</v>
      </c>
      <c r="B149" s="233">
        <v>45591</v>
      </c>
      <c r="C149" s="234">
        <v>141.51971399999999</v>
      </c>
      <c r="D149" s="235">
        <v>158.80210789564634</v>
      </c>
      <c r="E149" s="234">
        <f t="shared" si="8"/>
        <v>141.51971399999999</v>
      </c>
      <c r="F149" s="239"/>
      <c r="G149" s="188" t="str">
        <f t="shared" si="9"/>
        <v/>
      </c>
      <c r="H149" s="236" t="str">
        <f t="shared" si="10"/>
        <v/>
      </c>
      <c r="I149" s="237"/>
    </row>
    <row r="150" spans="1:9">
      <c r="A150" s="232">
        <f t="shared" si="11"/>
        <v>148</v>
      </c>
      <c r="B150" s="233">
        <v>45592</v>
      </c>
      <c r="C150" s="234">
        <v>95.29134599999999</v>
      </c>
      <c r="D150" s="235">
        <v>158.80210789564634</v>
      </c>
      <c r="E150" s="234">
        <f t="shared" si="8"/>
        <v>95.29134599999999</v>
      </c>
      <c r="F150" s="239"/>
      <c r="G150" s="188" t="str">
        <f t="shared" si="9"/>
        <v/>
      </c>
      <c r="H150" s="236" t="str">
        <f t="shared" si="10"/>
        <v/>
      </c>
      <c r="I150" s="237"/>
    </row>
    <row r="151" spans="1:9">
      <c r="A151" s="232">
        <f t="shared" si="11"/>
        <v>149</v>
      </c>
      <c r="B151" s="233">
        <v>45593</v>
      </c>
      <c r="C151" s="234">
        <v>199.63861899999998</v>
      </c>
      <c r="D151" s="235">
        <v>158.80210789564634</v>
      </c>
      <c r="E151" s="234">
        <f t="shared" si="8"/>
        <v>158.80210789564634</v>
      </c>
      <c r="F151" s="239"/>
      <c r="G151" s="188" t="str">
        <f t="shared" si="9"/>
        <v/>
      </c>
      <c r="H151" s="236" t="str">
        <f t="shared" si="10"/>
        <v/>
      </c>
      <c r="I151" s="237"/>
    </row>
    <row r="152" spans="1:9">
      <c r="A152" s="232">
        <f t="shared" si="11"/>
        <v>150</v>
      </c>
      <c r="B152" s="233">
        <v>45594</v>
      </c>
      <c r="C152" s="234">
        <v>263.63946000000004</v>
      </c>
      <c r="D152" s="235">
        <v>158.80210789564634</v>
      </c>
      <c r="E152" s="234">
        <f t="shared" si="8"/>
        <v>158.80210789564634</v>
      </c>
      <c r="F152" s="239"/>
      <c r="G152" s="188" t="str">
        <f t="shared" si="9"/>
        <v/>
      </c>
      <c r="H152" s="236" t="str">
        <f t="shared" si="10"/>
        <v/>
      </c>
      <c r="I152" s="237"/>
    </row>
    <row r="153" spans="1:9">
      <c r="A153" s="232">
        <f t="shared" si="11"/>
        <v>151</v>
      </c>
      <c r="B153" s="233">
        <v>45595</v>
      </c>
      <c r="C153" s="234">
        <v>245.531474</v>
      </c>
      <c r="D153" s="235">
        <v>158.80210789564634</v>
      </c>
      <c r="E153" s="234">
        <f t="shared" si="8"/>
        <v>158.80210789564634</v>
      </c>
      <c r="F153" s="239"/>
      <c r="G153" s="188" t="str">
        <f t="shared" si="9"/>
        <v/>
      </c>
      <c r="H153" s="236" t="str">
        <f t="shared" si="10"/>
        <v/>
      </c>
      <c r="I153" s="237"/>
    </row>
    <row r="154" spans="1:9">
      <c r="A154" s="232">
        <f t="shared" si="11"/>
        <v>152</v>
      </c>
      <c r="B154" s="233">
        <v>45596</v>
      </c>
      <c r="C154" s="234">
        <v>126.290593</v>
      </c>
      <c r="D154" s="235">
        <v>158.80210789564634</v>
      </c>
      <c r="E154" s="234">
        <f t="shared" si="8"/>
        <v>126.290593</v>
      </c>
      <c r="F154" s="239"/>
      <c r="G154" s="188" t="str">
        <f t="shared" si="9"/>
        <v/>
      </c>
      <c r="H154" s="236" t="str">
        <f t="shared" si="10"/>
        <v/>
      </c>
      <c r="I154" s="237"/>
    </row>
    <row r="155" spans="1:9">
      <c r="A155" s="232">
        <f t="shared" si="11"/>
        <v>153</v>
      </c>
      <c r="B155" s="233">
        <v>45597</v>
      </c>
      <c r="C155" s="234">
        <v>76.932117000000019</v>
      </c>
      <c r="D155" s="235">
        <v>206.85103522911453</v>
      </c>
      <c r="E155" s="234">
        <f t="shared" si="8"/>
        <v>76.932117000000019</v>
      </c>
      <c r="F155" s="237"/>
      <c r="G155" s="188" t="str">
        <f t="shared" si="9"/>
        <v/>
      </c>
      <c r="H155" s="236" t="str">
        <f t="shared" si="10"/>
        <v/>
      </c>
      <c r="I155" s="237"/>
    </row>
    <row r="156" spans="1:9">
      <c r="A156" s="232">
        <f t="shared" si="11"/>
        <v>154</v>
      </c>
      <c r="B156" s="233">
        <v>45598</v>
      </c>
      <c r="C156" s="234">
        <v>55.113553000000003</v>
      </c>
      <c r="D156" s="235">
        <v>206.85103522911453</v>
      </c>
      <c r="E156" s="234">
        <f t="shared" si="8"/>
        <v>55.113553000000003</v>
      </c>
      <c r="F156" s="239"/>
      <c r="G156" s="188" t="str">
        <f t="shared" si="9"/>
        <v/>
      </c>
      <c r="H156" s="236" t="str">
        <f t="shared" si="10"/>
        <v/>
      </c>
      <c r="I156" s="237"/>
    </row>
    <row r="157" spans="1:9">
      <c r="A157" s="232">
        <f t="shared" si="11"/>
        <v>155</v>
      </c>
      <c r="B157" s="233">
        <v>45599</v>
      </c>
      <c r="C157" s="234">
        <v>125.16685799999999</v>
      </c>
      <c r="D157" s="235">
        <v>206.85103522911453</v>
      </c>
      <c r="E157" s="234">
        <f t="shared" si="8"/>
        <v>125.16685799999999</v>
      </c>
      <c r="F157" s="239"/>
      <c r="G157" s="188" t="str">
        <f t="shared" si="9"/>
        <v/>
      </c>
      <c r="H157" s="236" t="str">
        <f t="shared" si="10"/>
        <v/>
      </c>
      <c r="I157" s="237"/>
    </row>
    <row r="158" spans="1:9">
      <c r="A158" s="232">
        <f t="shared" si="11"/>
        <v>156</v>
      </c>
      <c r="B158" s="233">
        <v>45600</v>
      </c>
      <c r="C158" s="234">
        <v>112.63445299999999</v>
      </c>
      <c r="D158" s="235">
        <v>206.85103522911453</v>
      </c>
      <c r="E158" s="234">
        <f t="shared" si="8"/>
        <v>112.63445299999999</v>
      </c>
      <c r="F158" s="239"/>
      <c r="G158" s="188" t="str">
        <f t="shared" si="9"/>
        <v/>
      </c>
      <c r="H158" s="236" t="str">
        <f t="shared" si="10"/>
        <v/>
      </c>
      <c r="I158" s="237"/>
    </row>
    <row r="159" spans="1:9">
      <c r="A159" s="232">
        <f t="shared" si="11"/>
        <v>157</v>
      </c>
      <c r="B159" s="233">
        <v>45601</v>
      </c>
      <c r="C159" s="234">
        <v>36.589557999999997</v>
      </c>
      <c r="D159" s="235">
        <v>206.85103522911453</v>
      </c>
      <c r="E159" s="234">
        <f t="shared" si="8"/>
        <v>36.589557999999997</v>
      </c>
      <c r="F159" s="239"/>
      <c r="G159" s="188" t="str">
        <f t="shared" si="9"/>
        <v/>
      </c>
      <c r="H159" s="236" t="str">
        <f t="shared" si="10"/>
        <v/>
      </c>
      <c r="I159" s="237"/>
    </row>
    <row r="160" spans="1:9">
      <c r="A160" s="232">
        <f t="shared" si="11"/>
        <v>158</v>
      </c>
      <c r="B160" s="233">
        <v>45602</v>
      </c>
      <c r="C160" s="234">
        <v>51.480131</v>
      </c>
      <c r="D160" s="235">
        <v>206.85103522911453</v>
      </c>
      <c r="E160" s="234">
        <f t="shared" si="8"/>
        <v>51.480131</v>
      </c>
      <c r="F160" s="239"/>
      <c r="G160" s="188" t="str">
        <f t="shared" si="9"/>
        <v/>
      </c>
      <c r="H160" s="236" t="str">
        <f t="shared" si="10"/>
        <v/>
      </c>
      <c r="I160" s="237"/>
    </row>
    <row r="161" spans="1:9">
      <c r="A161" s="232">
        <f t="shared" si="11"/>
        <v>159</v>
      </c>
      <c r="B161" s="233">
        <v>45603</v>
      </c>
      <c r="C161" s="234">
        <v>81.292059999999992</v>
      </c>
      <c r="D161" s="235">
        <v>206.85103522911453</v>
      </c>
      <c r="E161" s="234">
        <f t="shared" si="8"/>
        <v>81.292059999999992</v>
      </c>
      <c r="F161" s="239"/>
      <c r="G161" s="188" t="str">
        <f t="shared" si="9"/>
        <v/>
      </c>
      <c r="H161" s="236" t="str">
        <f t="shared" si="10"/>
        <v/>
      </c>
      <c r="I161" s="237"/>
    </row>
    <row r="162" spans="1:9">
      <c r="A162" s="232">
        <f t="shared" si="11"/>
        <v>160</v>
      </c>
      <c r="B162" s="233">
        <v>45604</v>
      </c>
      <c r="C162" s="234">
        <v>89.654990999999995</v>
      </c>
      <c r="D162" s="235">
        <v>206.85103522911453</v>
      </c>
      <c r="E162" s="234">
        <f t="shared" si="8"/>
        <v>89.654990999999995</v>
      </c>
      <c r="F162" s="239"/>
      <c r="G162" s="188" t="str">
        <f t="shared" si="9"/>
        <v/>
      </c>
      <c r="H162" s="236" t="str">
        <f t="shared" si="10"/>
        <v/>
      </c>
      <c r="I162" s="237"/>
    </row>
    <row r="163" spans="1:9">
      <c r="A163" s="232">
        <f t="shared" si="11"/>
        <v>161</v>
      </c>
      <c r="B163" s="233">
        <v>45605</v>
      </c>
      <c r="C163" s="234">
        <v>133.47285499999998</v>
      </c>
      <c r="D163" s="235">
        <v>206.85103522911453</v>
      </c>
      <c r="E163" s="234">
        <f t="shared" si="8"/>
        <v>133.47285499999998</v>
      </c>
      <c r="F163" s="239"/>
      <c r="G163" s="188" t="str">
        <f t="shared" si="9"/>
        <v/>
      </c>
      <c r="H163" s="236" t="str">
        <f t="shared" si="10"/>
        <v/>
      </c>
      <c r="I163" s="237"/>
    </row>
    <row r="164" spans="1:9">
      <c r="A164" s="232">
        <f t="shared" si="11"/>
        <v>162</v>
      </c>
      <c r="B164" s="233">
        <v>45606</v>
      </c>
      <c r="C164" s="234">
        <v>163.896174</v>
      </c>
      <c r="D164" s="235">
        <v>206.85103522911453</v>
      </c>
      <c r="E164" s="234">
        <f t="shared" si="8"/>
        <v>163.896174</v>
      </c>
      <c r="F164" s="239"/>
      <c r="G164" s="188" t="str">
        <f t="shared" si="9"/>
        <v/>
      </c>
      <c r="H164" s="236" t="str">
        <f t="shared" si="10"/>
        <v/>
      </c>
      <c r="I164" s="237"/>
    </row>
    <row r="165" spans="1:9">
      <c r="A165" s="232">
        <f t="shared" si="11"/>
        <v>163</v>
      </c>
      <c r="B165" s="233">
        <v>45607</v>
      </c>
      <c r="C165" s="234">
        <v>244.38331500000001</v>
      </c>
      <c r="D165" s="235">
        <v>206.85103522911453</v>
      </c>
      <c r="E165" s="234">
        <f t="shared" si="8"/>
        <v>206.85103522911453</v>
      </c>
      <c r="F165" s="239"/>
      <c r="G165" s="188" t="str">
        <f t="shared" si="9"/>
        <v/>
      </c>
      <c r="H165" s="236" t="str">
        <f t="shared" si="10"/>
        <v/>
      </c>
      <c r="I165" s="237"/>
    </row>
    <row r="166" spans="1:9">
      <c r="A166" s="232">
        <f t="shared" si="11"/>
        <v>164</v>
      </c>
      <c r="B166" s="233">
        <v>45608</v>
      </c>
      <c r="C166" s="234">
        <v>298.02203300000002</v>
      </c>
      <c r="D166" s="235">
        <v>206.85103522911453</v>
      </c>
      <c r="E166" s="234">
        <f t="shared" si="8"/>
        <v>206.85103522911453</v>
      </c>
      <c r="F166" s="239"/>
      <c r="G166" s="188" t="str">
        <f t="shared" si="9"/>
        <v/>
      </c>
      <c r="H166" s="236" t="str">
        <f t="shared" si="10"/>
        <v/>
      </c>
      <c r="I166" s="237"/>
    </row>
    <row r="167" spans="1:9">
      <c r="A167" s="232">
        <f t="shared" si="11"/>
        <v>165</v>
      </c>
      <c r="B167" s="233">
        <v>45609</v>
      </c>
      <c r="C167" s="234">
        <v>251.33041499999999</v>
      </c>
      <c r="D167" s="235">
        <v>206.85103522911453</v>
      </c>
      <c r="E167" s="234">
        <f t="shared" si="8"/>
        <v>206.85103522911453</v>
      </c>
      <c r="F167" s="239"/>
      <c r="G167" s="188" t="str">
        <f t="shared" si="9"/>
        <v/>
      </c>
      <c r="H167" s="236" t="str">
        <f t="shared" si="10"/>
        <v/>
      </c>
      <c r="I167" s="237"/>
    </row>
    <row r="168" spans="1:9">
      <c r="A168" s="232">
        <f t="shared" si="11"/>
        <v>166</v>
      </c>
      <c r="B168" s="233">
        <v>45610</v>
      </c>
      <c r="C168" s="234">
        <v>187.31915499999999</v>
      </c>
      <c r="D168" s="235">
        <v>206.85103522911453</v>
      </c>
      <c r="E168" s="234">
        <f t="shared" si="8"/>
        <v>187.31915499999999</v>
      </c>
      <c r="F168" s="239"/>
      <c r="G168" s="188" t="str">
        <f t="shared" si="9"/>
        <v/>
      </c>
      <c r="H168" s="236" t="str">
        <f t="shared" si="10"/>
        <v/>
      </c>
      <c r="I168" s="237"/>
    </row>
    <row r="169" spans="1:9">
      <c r="A169" s="232">
        <f t="shared" si="11"/>
        <v>167</v>
      </c>
      <c r="B169" s="233">
        <v>45611</v>
      </c>
      <c r="C169" s="234">
        <v>139.87597199999999</v>
      </c>
      <c r="D169" s="235">
        <v>206.85103522911453</v>
      </c>
      <c r="E169" s="234">
        <f t="shared" si="8"/>
        <v>139.87597199999999</v>
      </c>
      <c r="F169" s="237"/>
      <c r="G169" s="188" t="str">
        <f t="shared" si="9"/>
        <v>N</v>
      </c>
      <c r="H169" s="236" t="str">
        <f t="shared" si="10"/>
        <v>206,9</v>
      </c>
      <c r="I169" s="237"/>
    </row>
    <row r="170" spans="1:9">
      <c r="A170" s="232">
        <f t="shared" si="11"/>
        <v>168</v>
      </c>
      <c r="B170" s="233">
        <v>45612</v>
      </c>
      <c r="C170" s="234">
        <v>109.865499</v>
      </c>
      <c r="D170" s="235">
        <v>206.85103522911453</v>
      </c>
      <c r="E170" s="234">
        <f t="shared" si="8"/>
        <v>109.865499</v>
      </c>
      <c r="F170" s="239"/>
      <c r="G170" s="188" t="str">
        <f t="shared" si="9"/>
        <v/>
      </c>
      <c r="H170" s="236" t="str">
        <f t="shared" si="10"/>
        <v/>
      </c>
      <c r="I170" s="237"/>
    </row>
    <row r="171" spans="1:9">
      <c r="A171" s="232">
        <f t="shared" si="11"/>
        <v>169</v>
      </c>
      <c r="B171" s="233">
        <v>45613</v>
      </c>
      <c r="C171" s="234">
        <v>56.964173000000002</v>
      </c>
      <c r="D171" s="235">
        <v>206.85103522911453</v>
      </c>
      <c r="E171" s="234">
        <f t="shared" si="8"/>
        <v>56.964173000000002</v>
      </c>
      <c r="F171" s="239"/>
      <c r="G171" s="188" t="str">
        <f t="shared" si="9"/>
        <v/>
      </c>
      <c r="H171" s="236" t="str">
        <f t="shared" si="10"/>
        <v/>
      </c>
      <c r="I171" s="237"/>
    </row>
    <row r="172" spans="1:9">
      <c r="A172" s="232">
        <f t="shared" si="11"/>
        <v>170</v>
      </c>
      <c r="B172" s="233">
        <v>45614</v>
      </c>
      <c r="C172" s="234">
        <v>39.679396000000004</v>
      </c>
      <c r="D172" s="235">
        <v>206.85103522911453</v>
      </c>
      <c r="E172" s="234">
        <f t="shared" si="8"/>
        <v>39.679396000000004</v>
      </c>
      <c r="F172" s="239"/>
      <c r="G172" s="188" t="str">
        <f t="shared" si="9"/>
        <v/>
      </c>
      <c r="H172" s="236" t="str">
        <f t="shared" si="10"/>
        <v/>
      </c>
      <c r="I172" s="237"/>
    </row>
    <row r="173" spans="1:9">
      <c r="A173" s="232">
        <f t="shared" si="11"/>
        <v>171</v>
      </c>
      <c r="B173" s="233">
        <v>45615</v>
      </c>
      <c r="C173" s="234">
        <v>144.50193400000001</v>
      </c>
      <c r="D173" s="235">
        <v>206.85103522911453</v>
      </c>
      <c r="E173" s="234">
        <f t="shared" si="8"/>
        <v>144.50193400000001</v>
      </c>
      <c r="F173" s="239"/>
      <c r="G173" s="188" t="str">
        <f t="shared" si="9"/>
        <v/>
      </c>
      <c r="H173" s="236" t="str">
        <f t="shared" si="10"/>
        <v/>
      </c>
      <c r="I173" s="237"/>
    </row>
    <row r="174" spans="1:9">
      <c r="A174" s="232">
        <f t="shared" si="11"/>
        <v>172</v>
      </c>
      <c r="B174" s="233">
        <v>45616</v>
      </c>
      <c r="C174" s="234">
        <v>338.69116100000002</v>
      </c>
      <c r="D174" s="235">
        <v>206.85103522911453</v>
      </c>
      <c r="E174" s="234">
        <f t="shared" si="8"/>
        <v>206.85103522911453</v>
      </c>
      <c r="F174" s="239"/>
      <c r="G174" s="188" t="str">
        <f t="shared" si="9"/>
        <v/>
      </c>
      <c r="H174" s="236" t="str">
        <f t="shared" si="10"/>
        <v/>
      </c>
      <c r="I174" s="237"/>
    </row>
    <row r="175" spans="1:9">
      <c r="A175" s="232">
        <f t="shared" si="11"/>
        <v>173</v>
      </c>
      <c r="B175" s="233">
        <v>45617</v>
      </c>
      <c r="C175" s="234">
        <v>440.72434900000002</v>
      </c>
      <c r="D175" s="235">
        <v>206.85103522911453</v>
      </c>
      <c r="E175" s="234">
        <f t="shared" si="8"/>
        <v>206.85103522911453</v>
      </c>
      <c r="F175" s="239"/>
      <c r="G175" s="188" t="str">
        <f t="shared" si="9"/>
        <v/>
      </c>
      <c r="H175" s="236" t="str">
        <f t="shared" si="10"/>
        <v/>
      </c>
      <c r="I175" s="237"/>
    </row>
    <row r="176" spans="1:9">
      <c r="A176" s="232">
        <f t="shared" si="11"/>
        <v>174</v>
      </c>
      <c r="B176" s="233">
        <v>45618</v>
      </c>
      <c r="C176" s="234">
        <v>259.41947999999996</v>
      </c>
      <c r="D176" s="235">
        <v>206.85103522911453</v>
      </c>
      <c r="E176" s="234">
        <f t="shared" si="8"/>
        <v>206.85103522911453</v>
      </c>
      <c r="F176" s="239"/>
      <c r="G176" s="188" t="str">
        <f t="shared" si="9"/>
        <v/>
      </c>
      <c r="H176" s="236" t="str">
        <f t="shared" si="10"/>
        <v/>
      </c>
      <c r="I176" s="237"/>
    </row>
    <row r="177" spans="1:9">
      <c r="A177" s="232">
        <f t="shared" si="11"/>
        <v>175</v>
      </c>
      <c r="B177" s="233">
        <v>45619</v>
      </c>
      <c r="C177" s="234">
        <v>239.670705</v>
      </c>
      <c r="D177" s="235">
        <v>206.85103522911453</v>
      </c>
      <c r="E177" s="234">
        <f t="shared" si="8"/>
        <v>206.85103522911453</v>
      </c>
      <c r="F177" s="239"/>
      <c r="G177" s="188" t="str">
        <f t="shared" si="9"/>
        <v/>
      </c>
      <c r="H177" s="236" t="str">
        <f t="shared" si="10"/>
        <v/>
      </c>
      <c r="I177" s="237"/>
    </row>
    <row r="178" spans="1:9">
      <c r="A178" s="232">
        <f t="shared" si="11"/>
        <v>176</v>
      </c>
      <c r="B178" s="233">
        <v>45620</v>
      </c>
      <c r="C178" s="234">
        <v>327.21218599999997</v>
      </c>
      <c r="D178" s="235">
        <v>206.85103522911453</v>
      </c>
      <c r="E178" s="234">
        <f t="shared" si="8"/>
        <v>206.85103522911453</v>
      </c>
      <c r="F178" s="239"/>
      <c r="G178" s="188" t="str">
        <f t="shared" si="9"/>
        <v/>
      </c>
      <c r="H178" s="236" t="str">
        <f t="shared" si="10"/>
        <v/>
      </c>
      <c r="I178" s="237"/>
    </row>
    <row r="179" spans="1:9">
      <c r="A179" s="232">
        <f t="shared" si="11"/>
        <v>177</v>
      </c>
      <c r="B179" s="233">
        <v>45621</v>
      </c>
      <c r="C179" s="234">
        <v>295.491624</v>
      </c>
      <c r="D179" s="235">
        <v>206.85103522911453</v>
      </c>
      <c r="E179" s="234">
        <f t="shared" si="8"/>
        <v>206.85103522911453</v>
      </c>
      <c r="F179" s="239"/>
      <c r="G179" s="188" t="str">
        <f t="shared" si="9"/>
        <v/>
      </c>
      <c r="H179" s="236" t="str">
        <f t="shared" si="10"/>
        <v/>
      </c>
      <c r="I179" s="237"/>
    </row>
    <row r="180" spans="1:9">
      <c r="A180" s="232">
        <f t="shared" si="11"/>
        <v>178</v>
      </c>
      <c r="B180" s="233">
        <v>45622</v>
      </c>
      <c r="C180" s="234">
        <v>99.096762999999996</v>
      </c>
      <c r="D180" s="235">
        <v>206.85103522911453</v>
      </c>
      <c r="E180" s="234">
        <f t="shared" si="8"/>
        <v>99.096762999999996</v>
      </c>
      <c r="F180" s="239"/>
      <c r="G180" s="188" t="str">
        <f t="shared" si="9"/>
        <v/>
      </c>
      <c r="H180" s="236" t="str">
        <f t="shared" si="10"/>
        <v/>
      </c>
      <c r="I180" s="237"/>
    </row>
    <row r="181" spans="1:9">
      <c r="A181" s="232">
        <f t="shared" si="11"/>
        <v>179</v>
      </c>
      <c r="B181" s="233">
        <v>45623</v>
      </c>
      <c r="C181" s="234">
        <v>77.794535999999994</v>
      </c>
      <c r="D181" s="235">
        <v>206.85103522911453</v>
      </c>
      <c r="E181" s="234">
        <f t="shared" si="8"/>
        <v>77.794535999999994</v>
      </c>
      <c r="F181" s="239"/>
      <c r="G181" s="188" t="str">
        <f t="shared" si="9"/>
        <v/>
      </c>
      <c r="H181" s="236" t="str">
        <f t="shared" si="10"/>
        <v/>
      </c>
      <c r="I181" s="237"/>
    </row>
    <row r="182" spans="1:9">
      <c r="A182" s="232">
        <f t="shared" si="11"/>
        <v>180</v>
      </c>
      <c r="B182" s="233">
        <v>45624</v>
      </c>
      <c r="C182" s="234">
        <v>91.146317999999994</v>
      </c>
      <c r="D182" s="235">
        <v>206.85103522911453</v>
      </c>
      <c r="E182" s="234">
        <f t="shared" si="8"/>
        <v>91.146317999999994</v>
      </c>
      <c r="F182" s="239"/>
      <c r="G182" s="188" t="str">
        <f t="shared" si="9"/>
        <v/>
      </c>
      <c r="H182" s="236" t="str">
        <f t="shared" si="10"/>
        <v/>
      </c>
      <c r="I182" s="237"/>
    </row>
    <row r="183" spans="1:9">
      <c r="A183" s="232">
        <f t="shared" si="11"/>
        <v>181</v>
      </c>
      <c r="B183" s="233">
        <v>45625</v>
      </c>
      <c r="C183" s="234">
        <v>145.76431500000001</v>
      </c>
      <c r="D183" s="235">
        <v>206.85103522911453</v>
      </c>
      <c r="E183" s="234">
        <f t="shared" si="8"/>
        <v>145.76431500000001</v>
      </c>
      <c r="F183" s="239"/>
      <c r="G183" s="188" t="str">
        <f t="shared" si="9"/>
        <v/>
      </c>
      <c r="H183" s="236" t="str">
        <f t="shared" si="10"/>
        <v/>
      </c>
      <c r="I183" s="237"/>
    </row>
    <row r="184" spans="1:9">
      <c r="A184" s="232">
        <f t="shared" si="11"/>
        <v>182</v>
      </c>
      <c r="B184" s="233">
        <v>45626</v>
      </c>
      <c r="C184" s="234">
        <v>103.255352</v>
      </c>
      <c r="D184" s="235">
        <v>206.85103522911453</v>
      </c>
      <c r="E184" s="234">
        <f t="shared" si="8"/>
        <v>103.255352</v>
      </c>
      <c r="F184" s="239"/>
      <c r="G184" s="188" t="str">
        <f t="shared" si="9"/>
        <v/>
      </c>
      <c r="H184" s="236" t="str">
        <f t="shared" si="10"/>
        <v/>
      </c>
      <c r="I184" s="237"/>
    </row>
    <row r="185" spans="1:9">
      <c r="A185" s="232">
        <f t="shared" si="11"/>
        <v>183</v>
      </c>
      <c r="B185" s="233">
        <v>45627</v>
      </c>
      <c r="C185" s="234">
        <v>85.145202999999995</v>
      </c>
      <c r="D185" s="235">
        <v>197.49747085027684</v>
      </c>
      <c r="E185" s="234">
        <f t="shared" si="8"/>
        <v>85.145202999999995</v>
      </c>
      <c r="F185" s="239"/>
      <c r="G185" s="188" t="str">
        <f t="shared" si="9"/>
        <v/>
      </c>
      <c r="H185" s="236" t="str">
        <f t="shared" si="10"/>
        <v/>
      </c>
      <c r="I185" s="237"/>
    </row>
    <row r="186" spans="1:9">
      <c r="A186" s="232">
        <f t="shared" si="11"/>
        <v>184</v>
      </c>
      <c r="B186" s="233">
        <v>45628</v>
      </c>
      <c r="C186" s="234">
        <v>70.583862999999994</v>
      </c>
      <c r="D186" s="235">
        <v>197.49747085027684</v>
      </c>
      <c r="E186" s="234">
        <f t="shared" si="8"/>
        <v>70.583862999999994</v>
      </c>
      <c r="F186" s="237"/>
      <c r="G186" s="188" t="str">
        <f t="shared" si="9"/>
        <v/>
      </c>
      <c r="H186" s="236" t="str">
        <f t="shared" si="10"/>
        <v/>
      </c>
      <c r="I186" s="237"/>
    </row>
    <row r="187" spans="1:9">
      <c r="A187" s="232">
        <f t="shared" si="11"/>
        <v>185</v>
      </c>
      <c r="B187" s="233">
        <v>45629</v>
      </c>
      <c r="C187" s="234">
        <v>129.19969500000002</v>
      </c>
      <c r="D187" s="235">
        <v>197.49747085027684</v>
      </c>
      <c r="E187" s="234">
        <f t="shared" si="8"/>
        <v>129.19969500000002</v>
      </c>
      <c r="F187" s="239"/>
      <c r="G187" s="188" t="str">
        <f t="shared" si="9"/>
        <v/>
      </c>
      <c r="H187" s="236" t="str">
        <f t="shared" si="10"/>
        <v/>
      </c>
      <c r="I187" s="237"/>
    </row>
    <row r="188" spans="1:9">
      <c r="A188" s="232">
        <f t="shared" si="11"/>
        <v>186</v>
      </c>
      <c r="B188" s="233">
        <v>45630</v>
      </c>
      <c r="C188" s="234">
        <v>240.06589</v>
      </c>
      <c r="D188" s="235">
        <v>197.49747085027684</v>
      </c>
      <c r="E188" s="234">
        <f t="shared" si="8"/>
        <v>197.49747085027684</v>
      </c>
      <c r="F188" s="239"/>
      <c r="G188" s="188" t="str">
        <f t="shared" si="9"/>
        <v/>
      </c>
      <c r="H188" s="236" t="str">
        <f t="shared" si="10"/>
        <v/>
      </c>
      <c r="I188" s="237"/>
    </row>
    <row r="189" spans="1:9">
      <c r="A189" s="232">
        <f t="shared" si="11"/>
        <v>187</v>
      </c>
      <c r="B189" s="233">
        <v>45631</v>
      </c>
      <c r="C189" s="234">
        <v>192.32162099999999</v>
      </c>
      <c r="D189" s="235">
        <v>197.49747085027684</v>
      </c>
      <c r="E189" s="234">
        <f t="shared" si="8"/>
        <v>192.32162099999999</v>
      </c>
      <c r="F189" s="239"/>
      <c r="G189" s="188" t="str">
        <f t="shared" si="9"/>
        <v/>
      </c>
      <c r="H189" s="236" t="str">
        <f t="shared" si="10"/>
        <v/>
      </c>
      <c r="I189" s="237"/>
    </row>
    <row r="190" spans="1:9">
      <c r="A190" s="232">
        <f t="shared" si="11"/>
        <v>188</v>
      </c>
      <c r="B190" s="233">
        <v>45632</v>
      </c>
      <c r="C190" s="234">
        <v>237.10754999999997</v>
      </c>
      <c r="D190" s="235">
        <v>197.49747085027684</v>
      </c>
      <c r="E190" s="234">
        <f t="shared" si="8"/>
        <v>197.49747085027684</v>
      </c>
      <c r="F190" s="239"/>
      <c r="G190" s="188" t="str">
        <f t="shared" si="9"/>
        <v/>
      </c>
      <c r="H190" s="236" t="str">
        <f t="shared" si="10"/>
        <v/>
      </c>
      <c r="I190" s="237"/>
    </row>
    <row r="191" spans="1:9">
      <c r="A191" s="232">
        <f t="shared" si="11"/>
        <v>189</v>
      </c>
      <c r="B191" s="233">
        <v>45633</v>
      </c>
      <c r="C191" s="234">
        <v>329.85263099999997</v>
      </c>
      <c r="D191" s="235">
        <v>197.49747085027684</v>
      </c>
      <c r="E191" s="234">
        <f t="shared" si="8"/>
        <v>197.49747085027684</v>
      </c>
      <c r="F191" s="239"/>
      <c r="G191" s="188" t="str">
        <f t="shared" si="9"/>
        <v/>
      </c>
      <c r="H191" s="236" t="str">
        <f t="shared" si="10"/>
        <v/>
      </c>
      <c r="I191" s="237"/>
    </row>
    <row r="192" spans="1:9">
      <c r="A192" s="232">
        <f t="shared" si="11"/>
        <v>190</v>
      </c>
      <c r="B192" s="233">
        <v>45634</v>
      </c>
      <c r="C192" s="234">
        <v>359.11033499999996</v>
      </c>
      <c r="D192" s="235">
        <v>197.49747085027684</v>
      </c>
      <c r="E192" s="234">
        <f t="shared" si="8"/>
        <v>197.49747085027684</v>
      </c>
      <c r="F192" s="239"/>
      <c r="G192" s="188" t="str">
        <f t="shared" si="9"/>
        <v/>
      </c>
      <c r="H192" s="236" t="str">
        <f t="shared" si="10"/>
        <v/>
      </c>
      <c r="I192" s="237"/>
    </row>
    <row r="193" spans="1:9">
      <c r="A193" s="232">
        <f t="shared" si="11"/>
        <v>191</v>
      </c>
      <c r="B193" s="233">
        <v>45635</v>
      </c>
      <c r="C193" s="234">
        <v>355.39784100000003</v>
      </c>
      <c r="D193" s="235">
        <v>197.49747085027684</v>
      </c>
      <c r="E193" s="234">
        <f t="shared" si="8"/>
        <v>197.49747085027684</v>
      </c>
      <c r="F193" s="239"/>
      <c r="G193" s="188" t="str">
        <f t="shared" si="9"/>
        <v/>
      </c>
      <c r="H193" s="236" t="str">
        <f t="shared" si="10"/>
        <v/>
      </c>
      <c r="I193" s="237"/>
    </row>
    <row r="194" spans="1:9">
      <c r="A194" s="232">
        <f t="shared" si="11"/>
        <v>192</v>
      </c>
      <c r="B194" s="233">
        <v>45636</v>
      </c>
      <c r="C194" s="234">
        <v>169.30434199999999</v>
      </c>
      <c r="D194" s="235">
        <v>197.49747085027684</v>
      </c>
      <c r="E194" s="234">
        <f t="shared" si="8"/>
        <v>169.30434199999999</v>
      </c>
      <c r="F194" s="239"/>
      <c r="G194" s="188" t="str">
        <f t="shared" si="9"/>
        <v/>
      </c>
      <c r="H194" s="236" t="str">
        <f t="shared" si="10"/>
        <v/>
      </c>
      <c r="I194" s="237"/>
    </row>
    <row r="195" spans="1:9">
      <c r="A195" s="232">
        <f t="shared" si="11"/>
        <v>193</v>
      </c>
      <c r="B195" s="233">
        <v>45637</v>
      </c>
      <c r="C195" s="234">
        <v>44.365141000000001</v>
      </c>
      <c r="D195" s="235">
        <v>197.49747085027684</v>
      </c>
      <c r="E195" s="234">
        <f t="shared" ref="E195:E258" si="12">IF(C195&gt;D195,D195,C195)</f>
        <v>44.365141000000001</v>
      </c>
      <c r="F195" s="239"/>
      <c r="G195" s="188" t="str">
        <f t="shared" ref="G195:G258" si="13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36" t="str">
        <f t="shared" ref="H195:H258" si="14">IF(DAY($B195)=15,TEXT(D195,"#,0"),"")</f>
        <v/>
      </c>
      <c r="I195" s="237"/>
    </row>
    <row r="196" spans="1:9">
      <c r="A196" s="232">
        <f t="shared" ref="A196:A259" si="15">+A195+1</f>
        <v>194</v>
      </c>
      <c r="B196" s="233">
        <v>45638</v>
      </c>
      <c r="C196" s="234">
        <v>63.363847</v>
      </c>
      <c r="D196" s="235">
        <v>197.49747085027684</v>
      </c>
      <c r="E196" s="234">
        <f t="shared" si="12"/>
        <v>63.363847</v>
      </c>
      <c r="F196" s="239"/>
      <c r="G196" s="188" t="str">
        <f t="shared" si="13"/>
        <v/>
      </c>
      <c r="H196" s="236" t="str">
        <f t="shared" si="14"/>
        <v/>
      </c>
      <c r="I196" s="237"/>
    </row>
    <row r="197" spans="1:9">
      <c r="A197" s="232">
        <f t="shared" si="15"/>
        <v>195</v>
      </c>
      <c r="B197" s="233">
        <v>45639</v>
      </c>
      <c r="C197" s="234">
        <v>29.603017000000001</v>
      </c>
      <c r="D197" s="235">
        <v>197.49747085027684</v>
      </c>
      <c r="E197" s="234">
        <f t="shared" si="12"/>
        <v>29.603017000000001</v>
      </c>
      <c r="F197" s="239"/>
      <c r="G197" s="188" t="str">
        <f t="shared" si="13"/>
        <v/>
      </c>
      <c r="H197" s="236" t="str">
        <f t="shared" si="14"/>
        <v/>
      </c>
      <c r="I197" s="237"/>
    </row>
    <row r="198" spans="1:9">
      <c r="A198" s="232">
        <f t="shared" si="15"/>
        <v>196</v>
      </c>
      <c r="B198" s="233">
        <v>45640</v>
      </c>
      <c r="C198" s="234">
        <v>108.996498</v>
      </c>
      <c r="D198" s="235">
        <v>197.49747085027684</v>
      </c>
      <c r="E198" s="234">
        <f t="shared" si="12"/>
        <v>108.996498</v>
      </c>
      <c r="F198" s="239"/>
      <c r="G198" s="188" t="str">
        <f t="shared" si="13"/>
        <v/>
      </c>
      <c r="H198" s="236" t="str">
        <f t="shared" si="14"/>
        <v/>
      </c>
      <c r="I198" s="237"/>
    </row>
    <row r="199" spans="1:9">
      <c r="A199" s="232">
        <f t="shared" si="15"/>
        <v>197</v>
      </c>
      <c r="B199" s="233">
        <v>45641</v>
      </c>
      <c r="C199" s="234">
        <v>219.88327999999998</v>
      </c>
      <c r="D199" s="235">
        <v>197.49747085027684</v>
      </c>
      <c r="E199" s="234">
        <f t="shared" si="12"/>
        <v>197.49747085027684</v>
      </c>
      <c r="F199" s="239"/>
      <c r="G199" s="188" t="str">
        <f t="shared" si="13"/>
        <v>D</v>
      </c>
      <c r="H199" s="236" t="str">
        <f t="shared" si="14"/>
        <v>197,5</v>
      </c>
      <c r="I199" s="237"/>
    </row>
    <row r="200" spans="1:9">
      <c r="A200" s="232">
        <f t="shared" si="15"/>
        <v>198</v>
      </c>
      <c r="B200" s="233">
        <v>45642</v>
      </c>
      <c r="C200" s="234">
        <v>150.33350499999997</v>
      </c>
      <c r="D200" s="235">
        <v>197.49747085027684</v>
      </c>
      <c r="E200" s="234">
        <f t="shared" si="12"/>
        <v>150.33350499999997</v>
      </c>
      <c r="F200" s="239"/>
      <c r="G200" s="188" t="str">
        <f t="shared" si="13"/>
        <v/>
      </c>
      <c r="H200" s="236" t="str">
        <f t="shared" si="14"/>
        <v/>
      </c>
      <c r="I200" s="237"/>
    </row>
    <row r="201" spans="1:9">
      <c r="A201" s="232">
        <f t="shared" si="15"/>
        <v>199</v>
      </c>
      <c r="B201" s="233">
        <v>45643</v>
      </c>
      <c r="C201" s="234">
        <v>159.37333000000001</v>
      </c>
      <c r="D201" s="235">
        <v>197.49747085027684</v>
      </c>
      <c r="E201" s="234">
        <f t="shared" si="12"/>
        <v>159.37333000000001</v>
      </c>
      <c r="F201" s="239"/>
      <c r="G201" s="188" t="str">
        <f t="shared" si="13"/>
        <v/>
      </c>
      <c r="H201" s="236" t="str">
        <f t="shared" si="14"/>
        <v/>
      </c>
      <c r="I201" s="237"/>
    </row>
    <row r="202" spans="1:9">
      <c r="A202" s="232">
        <f t="shared" si="15"/>
        <v>200</v>
      </c>
      <c r="B202" s="233">
        <v>45644</v>
      </c>
      <c r="C202" s="234">
        <v>211.775566</v>
      </c>
      <c r="D202" s="235">
        <v>197.49747085027684</v>
      </c>
      <c r="E202" s="234">
        <f t="shared" si="12"/>
        <v>197.49747085027684</v>
      </c>
      <c r="F202" s="239"/>
      <c r="G202" s="188" t="str">
        <f t="shared" si="13"/>
        <v/>
      </c>
      <c r="H202" s="236" t="str">
        <f t="shared" si="14"/>
        <v/>
      </c>
      <c r="I202" s="237"/>
    </row>
    <row r="203" spans="1:9">
      <c r="A203" s="232">
        <f t="shared" si="15"/>
        <v>201</v>
      </c>
      <c r="B203" s="233">
        <v>45645</v>
      </c>
      <c r="C203" s="234">
        <v>360.16892099999995</v>
      </c>
      <c r="D203" s="235">
        <v>197.49747085027684</v>
      </c>
      <c r="E203" s="234">
        <f t="shared" si="12"/>
        <v>197.49747085027684</v>
      </c>
      <c r="F203" s="239"/>
      <c r="G203" s="188" t="str">
        <f t="shared" si="13"/>
        <v/>
      </c>
      <c r="H203" s="236" t="str">
        <f t="shared" si="14"/>
        <v/>
      </c>
      <c r="I203" s="237"/>
    </row>
    <row r="204" spans="1:9">
      <c r="A204" s="232">
        <f t="shared" si="15"/>
        <v>202</v>
      </c>
      <c r="B204" s="233">
        <v>45646</v>
      </c>
      <c r="C204" s="234">
        <v>238.08474900000002</v>
      </c>
      <c r="D204" s="235">
        <v>197.49747085027684</v>
      </c>
      <c r="E204" s="234">
        <f t="shared" si="12"/>
        <v>197.49747085027684</v>
      </c>
      <c r="F204" s="239"/>
      <c r="G204" s="188" t="str">
        <f t="shared" si="13"/>
        <v/>
      </c>
      <c r="H204" s="236" t="str">
        <f t="shared" si="14"/>
        <v/>
      </c>
      <c r="I204" s="237"/>
    </row>
    <row r="205" spans="1:9">
      <c r="A205" s="232">
        <f t="shared" si="15"/>
        <v>203</v>
      </c>
      <c r="B205" s="233">
        <v>45647</v>
      </c>
      <c r="C205" s="234">
        <v>172.26707399999998</v>
      </c>
      <c r="D205" s="235">
        <v>197.49747085027684</v>
      </c>
      <c r="E205" s="234">
        <f t="shared" si="12"/>
        <v>172.26707399999998</v>
      </c>
      <c r="F205" s="239"/>
      <c r="G205" s="188" t="str">
        <f t="shared" si="13"/>
        <v/>
      </c>
      <c r="H205" s="236" t="str">
        <f t="shared" si="14"/>
        <v/>
      </c>
      <c r="I205" s="237"/>
    </row>
    <row r="206" spans="1:9">
      <c r="A206" s="232">
        <f t="shared" si="15"/>
        <v>204</v>
      </c>
      <c r="B206" s="233">
        <v>45648</v>
      </c>
      <c r="C206" s="234">
        <v>266.21686399999999</v>
      </c>
      <c r="D206" s="235">
        <v>197.49747085027684</v>
      </c>
      <c r="E206" s="234">
        <f t="shared" si="12"/>
        <v>197.49747085027684</v>
      </c>
      <c r="F206" s="239"/>
      <c r="G206" s="188" t="str">
        <f t="shared" si="13"/>
        <v/>
      </c>
      <c r="H206" s="236" t="str">
        <f t="shared" si="14"/>
        <v/>
      </c>
      <c r="I206" s="237"/>
    </row>
    <row r="207" spans="1:9">
      <c r="A207" s="232">
        <f t="shared" si="15"/>
        <v>205</v>
      </c>
      <c r="B207" s="233">
        <v>45649</v>
      </c>
      <c r="C207" s="234">
        <v>345.87964699999998</v>
      </c>
      <c r="D207" s="235">
        <v>197.49747085027684</v>
      </c>
      <c r="E207" s="234">
        <f t="shared" si="12"/>
        <v>197.49747085027684</v>
      </c>
      <c r="F207" s="239"/>
      <c r="G207" s="188" t="str">
        <f t="shared" si="13"/>
        <v/>
      </c>
      <c r="H207" s="236" t="str">
        <f t="shared" si="14"/>
        <v/>
      </c>
      <c r="I207" s="237"/>
    </row>
    <row r="208" spans="1:9">
      <c r="A208" s="232">
        <f t="shared" si="15"/>
        <v>206</v>
      </c>
      <c r="B208" s="233">
        <v>45650</v>
      </c>
      <c r="C208" s="234">
        <v>280.852934</v>
      </c>
      <c r="D208" s="235">
        <v>197.49747085027684</v>
      </c>
      <c r="E208" s="234">
        <f t="shared" si="12"/>
        <v>197.49747085027684</v>
      </c>
      <c r="F208" s="239"/>
      <c r="G208" s="188" t="str">
        <f t="shared" si="13"/>
        <v/>
      </c>
      <c r="H208" s="236" t="str">
        <f t="shared" si="14"/>
        <v/>
      </c>
      <c r="I208" s="237"/>
    </row>
    <row r="209" spans="1:9">
      <c r="A209" s="232">
        <f t="shared" si="15"/>
        <v>207</v>
      </c>
      <c r="B209" s="233">
        <v>45651</v>
      </c>
      <c r="C209" s="234">
        <v>109.234211</v>
      </c>
      <c r="D209" s="235">
        <v>197.49747085027684</v>
      </c>
      <c r="E209" s="234">
        <f t="shared" si="12"/>
        <v>109.234211</v>
      </c>
      <c r="F209" s="239"/>
      <c r="G209" s="188" t="str">
        <f t="shared" si="13"/>
        <v/>
      </c>
      <c r="H209" s="236" t="str">
        <f t="shared" si="14"/>
        <v/>
      </c>
      <c r="I209" s="237"/>
    </row>
    <row r="210" spans="1:9">
      <c r="A210" s="232">
        <f t="shared" si="15"/>
        <v>208</v>
      </c>
      <c r="B210" s="233">
        <v>45652</v>
      </c>
      <c r="C210" s="234">
        <v>57.149535999999998</v>
      </c>
      <c r="D210" s="235">
        <v>197.49747085027684</v>
      </c>
      <c r="E210" s="234">
        <f t="shared" si="12"/>
        <v>57.149535999999998</v>
      </c>
      <c r="F210" s="239"/>
      <c r="G210" s="188" t="str">
        <f t="shared" si="13"/>
        <v/>
      </c>
      <c r="H210" s="236" t="str">
        <f t="shared" si="14"/>
        <v/>
      </c>
      <c r="I210" s="237"/>
    </row>
    <row r="211" spans="1:9">
      <c r="A211" s="232">
        <f t="shared" si="15"/>
        <v>209</v>
      </c>
      <c r="B211" s="233">
        <v>45653</v>
      </c>
      <c r="C211" s="234">
        <v>94.643889999999999</v>
      </c>
      <c r="D211" s="235">
        <v>197.49747085027684</v>
      </c>
      <c r="E211" s="234">
        <f t="shared" si="12"/>
        <v>94.643889999999999</v>
      </c>
      <c r="F211" s="239"/>
      <c r="G211" s="188" t="str">
        <f t="shared" si="13"/>
        <v/>
      </c>
      <c r="H211" s="236" t="str">
        <f t="shared" si="14"/>
        <v/>
      </c>
      <c r="I211" s="237"/>
    </row>
    <row r="212" spans="1:9">
      <c r="A212" s="232">
        <f t="shared" si="15"/>
        <v>210</v>
      </c>
      <c r="B212" s="233">
        <v>45654</v>
      </c>
      <c r="C212" s="234">
        <v>52.416581000000001</v>
      </c>
      <c r="D212" s="235">
        <v>197.49747085027684</v>
      </c>
      <c r="E212" s="234">
        <f t="shared" si="12"/>
        <v>52.416581000000001</v>
      </c>
      <c r="F212" s="239"/>
      <c r="G212" s="188" t="str">
        <f t="shared" si="13"/>
        <v/>
      </c>
      <c r="H212" s="236" t="str">
        <f t="shared" si="14"/>
        <v/>
      </c>
      <c r="I212" s="237"/>
    </row>
    <row r="213" spans="1:9">
      <c r="A213" s="232">
        <f t="shared" si="15"/>
        <v>211</v>
      </c>
      <c r="B213" s="233">
        <v>45655</v>
      </c>
      <c r="C213" s="234">
        <v>29.812986000000002</v>
      </c>
      <c r="D213" s="235">
        <v>197.49747085027684</v>
      </c>
      <c r="E213" s="234">
        <f t="shared" si="12"/>
        <v>29.812986000000002</v>
      </c>
      <c r="F213" s="239"/>
      <c r="G213" s="188" t="str">
        <f t="shared" si="13"/>
        <v/>
      </c>
      <c r="H213" s="236" t="str">
        <f t="shared" si="14"/>
        <v/>
      </c>
      <c r="I213" s="237"/>
    </row>
    <row r="214" spans="1:9">
      <c r="A214" s="232">
        <f t="shared" si="15"/>
        <v>212</v>
      </c>
      <c r="B214" s="233">
        <v>45656</v>
      </c>
      <c r="C214" s="234">
        <v>32.461750000000002</v>
      </c>
      <c r="D214" s="235">
        <v>197.49747085027684</v>
      </c>
      <c r="E214" s="234">
        <f t="shared" si="12"/>
        <v>32.461750000000002</v>
      </c>
      <c r="F214" s="239"/>
      <c r="G214" s="188" t="str">
        <f t="shared" si="13"/>
        <v/>
      </c>
      <c r="H214" s="236" t="str">
        <f t="shared" si="14"/>
        <v/>
      </c>
      <c r="I214" s="237"/>
    </row>
    <row r="215" spans="1:9">
      <c r="A215" s="232">
        <f t="shared" si="15"/>
        <v>213</v>
      </c>
      <c r="B215" s="233">
        <v>45657</v>
      </c>
      <c r="C215" s="234">
        <v>28.700936000000002</v>
      </c>
      <c r="D215" s="235">
        <v>197.49747085027684</v>
      </c>
      <c r="E215" s="234">
        <f t="shared" si="12"/>
        <v>28.700936000000002</v>
      </c>
      <c r="F215" s="239"/>
      <c r="G215" s="188" t="str">
        <f t="shared" si="13"/>
        <v/>
      </c>
      <c r="H215" s="236" t="str">
        <f t="shared" si="14"/>
        <v/>
      </c>
      <c r="I215" s="237"/>
    </row>
    <row r="216" spans="1:9">
      <c r="A216" s="232">
        <f t="shared" si="15"/>
        <v>214</v>
      </c>
      <c r="B216" s="233">
        <v>45658</v>
      </c>
      <c r="C216" s="234">
        <v>96.073809999999995</v>
      </c>
      <c r="D216" s="235">
        <v>226.40470537113495</v>
      </c>
      <c r="E216" s="234">
        <f t="shared" si="12"/>
        <v>96.073809999999995</v>
      </c>
      <c r="F216" s="237">
        <f>YEAR(B216)</f>
        <v>2025</v>
      </c>
      <c r="G216" s="188" t="str">
        <f t="shared" si="13"/>
        <v/>
      </c>
      <c r="H216" s="236" t="str">
        <f t="shared" si="14"/>
        <v/>
      </c>
      <c r="I216" s="237"/>
    </row>
    <row r="217" spans="1:9">
      <c r="A217" s="232">
        <f t="shared" si="15"/>
        <v>215</v>
      </c>
      <c r="B217" s="233">
        <v>45659</v>
      </c>
      <c r="C217" s="234">
        <v>163.738305</v>
      </c>
      <c r="D217" s="235">
        <v>226.40470537113495</v>
      </c>
      <c r="E217" s="234">
        <f t="shared" si="12"/>
        <v>163.738305</v>
      </c>
      <c r="F217" s="239"/>
      <c r="G217" s="188" t="str">
        <f t="shared" si="13"/>
        <v/>
      </c>
      <c r="H217" s="236" t="str">
        <f t="shared" si="14"/>
        <v/>
      </c>
      <c r="I217" s="237"/>
    </row>
    <row r="218" spans="1:9">
      <c r="A218" s="232">
        <f t="shared" si="15"/>
        <v>216</v>
      </c>
      <c r="B218" s="233">
        <v>45660</v>
      </c>
      <c r="C218" s="234">
        <v>298.15848599999998</v>
      </c>
      <c r="D218" s="235">
        <v>226.40470537113495</v>
      </c>
      <c r="E218" s="234">
        <f t="shared" si="12"/>
        <v>226.40470537113495</v>
      </c>
      <c r="F218" s="239"/>
      <c r="G218" s="188" t="str">
        <f t="shared" si="13"/>
        <v/>
      </c>
      <c r="H218" s="236" t="str">
        <f t="shared" si="14"/>
        <v/>
      </c>
      <c r="I218" s="237"/>
    </row>
    <row r="219" spans="1:9">
      <c r="A219" s="232">
        <f t="shared" si="15"/>
        <v>217</v>
      </c>
      <c r="B219" s="233">
        <v>45661</v>
      </c>
      <c r="C219" s="234">
        <v>247.380731</v>
      </c>
      <c r="D219" s="235">
        <v>226.40470537113495</v>
      </c>
      <c r="E219" s="234">
        <f t="shared" si="12"/>
        <v>226.40470537113495</v>
      </c>
      <c r="F219" s="239"/>
      <c r="G219" s="188" t="str">
        <f t="shared" si="13"/>
        <v/>
      </c>
      <c r="H219" s="236" t="str">
        <f t="shared" si="14"/>
        <v/>
      </c>
      <c r="I219" s="237"/>
    </row>
    <row r="220" spans="1:9">
      <c r="A220" s="232">
        <f t="shared" si="15"/>
        <v>218</v>
      </c>
      <c r="B220" s="233">
        <v>45662</v>
      </c>
      <c r="C220" s="234">
        <v>326.85978299999999</v>
      </c>
      <c r="D220" s="235">
        <v>226.40470537113495</v>
      </c>
      <c r="E220" s="234">
        <f t="shared" si="12"/>
        <v>226.40470537113495</v>
      </c>
      <c r="F220" s="239"/>
      <c r="G220" s="188" t="str">
        <f t="shared" si="13"/>
        <v/>
      </c>
      <c r="H220" s="236" t="str">
        <f t="shared" si="14"/>
        <v/>
      </c>
      <c r="I220" s="237"/>
    </row>
    <row r="221" spans="1:9">
      <c r="A221" s="232">
        <f t="shared" si="15"/>
        <v>219</v>
      </c>
      <c r="B221" s="233">
        <v>45663</v>
      </c>
      <c r="C221" s="234">
        <v>292.55074400000001</v>
      </c>
      <c r="D221" s="235">
        <v>226.40470537113495</v>
      </c>
      <c r="E221" s="234">
        <f t="shared" si="12"/>
        <v>226.40470537113495</v>
      </c>
      <c r="F221" s="239"/>
      <c r="G221" s="188" t="str">
        <f t="shared" si="13"/>
        <v/>
      </c>
      <c r="H221" s="236" t="str">
        <f t="shared" si="14"/>
        <v/>
      </c>
      <c r="I221" s="237"/>
    </row>
    <row r="222" spans="1:9">
      <c r="A222" s="232">
        <f t="shared" si="15"/>
        <v>220</v>
      </c>
      <c r="B222" s="233">
        <v>45664</v>
      </c>
      <c r="C222" s="234">
        <v>325.64921400000003</v>
      </c>
      <c r="D222" s="235">
        <v>226.40470537113495</v>
      </c>
      <c r="E222" s="234">
        <f t="shared" si="12"/>
        <v>226.40470537113495</v>
      </c>
      <c r="F222" s="239"/>
      <c r="G222" s="188" t="str">
        <f t="shared" si="13"/>
        <v/>
      </c>
      <c r="H222" s="236" t="str">
        <f t="shared" si="14"/>
        <v/>
      </c>
      <c r="I222" s="237"/>
    </row>
    <row r="223" spans="1:9">
      <c r="A223" s="232">
        <f t="shared" si="15"/>
        <v>221</v>
      </c>
      <c r="B223" s="233">
        <v>45665</v>
      </c>
      <c r="C223" s="234">
        <v>347.93998699999997</v>
      </c>
      <c r="D223" s="235">
        <v>226.40470537113495</v>
      </c>
      <c r="E223" s="234">
        <f t="shared" si="12"/>
        <v>226.40470537113495</v>
      </c>
      <c r="F223" s="239"/>
      <c r="G223" s="188" t="str">
        <f t="shared" si="13"/>
        <v/>
      </c>
      <c r="H223" s="236" t="str">
        <f t="shared" si="14"/>
        <v/>
      </c>
      <c r="I223" s="237"/>
    </row>
    <row r="224" spans="1:9">
      <c r="A224" s="232">
        <f t="shared" si="15"/>
        <v>222</v>
      </c>
      <c r="B224" s="233">
        <v>45666</v>
      </c>
      <c r="C224" s="234">
        <v>367.20217500000001</v>
      </c>
      <c r="D224" s="235">
        <v>226.40470537113495</v>
      </c>
      <c r="E224" s="234">
        <f t="shared" si="12"/>
        <v>226.40470537113495</v>
      </c>
      <c r="F224" s="239"/>
      <c r="G224" s="188" t="str">
        <f t="shared" si="13"/>
        <v/>
      </c>
      <c r="H224" s="236" t="str">
        <f t="shared" si="14"/>
        <v/>
      </c>
      <c r="I224" s="237"/>
    </row>
    <row r="225" spans="1:9">
      <c r="A225" s="232">
        <f t="shared" si="15"/>
        <v>223</v>
      </c>
      <c r="B225" s="233">
        <v>45667</v>
      </c>
      <c r="C225" s="234">
        <v>304.77847500000001</v>
      </c>
      <c r="D225" s="235">
        <v>226.40470537113495</v>
      </c>
      <c r="E225" s="234">
        <f t="shared" si="12"/>
        <v>226.40470537113495</v>
      </c>
      <c r="F225" s="239"/>
      <c r="G225" s="188" t="str">
        <f t="shared" si="13"/>
        <v/>
      </c>
      <c r="H225" s="236" t="str">
        <f t="shared" si="14"/>
        <v/>
      </c>
      <c r="I225" s="237"/>
    </row>
    <row r="226" spans="1:9">
      <c r="A226" s="232">
        <f t="shared" si="15"/>
        <v>224</v>
      </c>
      <c r="B226" s="233">
        <v>45668</v>
      </c>
      <c r="C226" s="234">
        <v>326.51122800000002</v>
      </c>
      <c r="D226" s="235">
        <v>226.40470537113495</v>
      </c>
      <c r="E226" s="234">
        <f t="shared" si="12"/>
        <v>226.40470537113495</v>
      </c>
      <c r="F226" s="239"/>
      <c r="G226" s="188" t="str">
        <f t="shared" si="13"/>
        <v/>
      </c>
      <c r="H226" s="236" t="str">
        <f t="shared" si="14"/>
        <v/>
      </c>
      <c r="I226" s="237"/>
    </row>
    <row r="227" spans="1:9">
      <c r="A227" s="232">
        <f t="shared" si="15"/>
        <v>225</v>
      </c>
      <c r="B227" s="233">
        <v>45669</v>
      </c>
      <c r="C227" s="234">
        <v>284.02790400000004</v>
      </c>
      <c r="D227" s="235">
        <v>226.40470537113495</v>
      </c>
      <c r="E227" s="234">
        <f t="shared" si="12"/>
        <v>226.40470537113495</v>
      </c>
      <c r="F227" s="239"/>
      <c r="G227" s="188" t="str">
        <f t="shared" si="13"/>
        <v/>
      </c>
      <c r="H227" s="236" t="str">
        <f t="shared" si="14"/>
        <v/>
      </c>
      <c r="I227" s="237"/>
    </row>
    <row r="228" spans="1:9">
      <c r="A228" s="232">
        <f t="shared" si="15"/>
        <v>226</v>
      </c>
      <c r="B228" s="233">
        <v>45670</v>
      </c>
      <c r="C228" s="234">
        <v>220.21362999999997</v>
      </c>
      <c r="D228" s="235">
        <v>226.40470537113495</v>
      </c>
      <c r="E228" s="234">
        <f t="shared" si="12"/>
        <v>220.21362999999997</v>
      </c>
      <c r="F228" s="239"/>
      <c r="G228" s="188" t="str">
        <f t="shared" si="13"/>
        <v/>
      </c>
      <c r="H228" s="236" t="str">
        <f t="shared" si="14"/>
        <v/>
      </c>
      <c r="I228" s="237"/>
    </row>
    <row r="229" spans="1:9">
      <c r="A229" s="232">
        <f t="shared" si="15"/>
        <v>227</v>
      </c>
      <c r="B229" s="233">
        <v>45671</v>
      </c>
      <c r="C229" s="234">
        <v>113.02481399999999</v>
      </c>
      <c r="D229" s="235">
        <v>226.40470537113495</v>
      </c>
      <c r="E229" s="234">
        <f t="shared" si="12"/>
        <v>113.02481399999999</v>
      </c>
      <c r="F229" s="239"/>
      <c r="G229" s="188" t="str">
        <f t="shared" si="13"/>
        <v/>
      </c>
      <c r="H229" s="236" t="str">
        <f t="shared" si="14"/>
        <v/>
      </c>
      <c r="I229" s="237"/>
    </row>
    <row r="230" spans="1:9">
      <c r="A230" s="232">
        <f t="shared" si="15"/>
        <v>228</v>
      </c>
      <c r="B230" s="233">
        <v>45672</v>
      </c>
      <c r="C230" s="234">
        <v>165.49422799999999</v>
      </c>
      <c r="D230" s="235">
        <v>226.40470537113495</v>
      </c>
      <c r="E230" s="234">
        <f t="shared" si="12"/>
        <v>165.49422799999999</v>
      </c>
      <c r="F230" s="237"/>
      <c r="G230" s="188" t="str">
        <f t="shared" si="13"/>
        <v>E</v>
      </c>
      <c r="H230" s="236" t="str">
        <f t="shared" si="14"/>
        <v>226,4</v>
      </c>
      <c r="I230" s="237"/>
    </row>
    <row r="231" spans="1:9">
      <c r="A231" s="232">
        <f t="shared" si="15"/>
        <v>229</v>
      </c>
      <c r="B231" s="233">
        <v>45673</v>
      </c>
      <c r="C231" s="234">
        <v>196.177661</v>
      </c>
      <c r="D231" s="235">
        <v>226.40470537113495</v>
      </c>
      <c r="E231" s="234">
        <f t="shared" si="12"/>
        <v>196.177661</v>
      </c>
      <c r="F231" s="239"/>
      <c r="G231" s="188" t="str">
        <f t="shared" si="13"/>
        <v/>
      </c>
      <c r="H231" s="236" t="str">
        <f t="shared" si="14"/>
        <v/>
      </c>
      <c r="I231" s="237"/>
    </row>
    <row r="232" spans="1:9">
      <c r="A232" s="232">
        <f t="shared" si="15"/>
        <v>230</v>
      </c>
      <c r="B232" s="233">
        <v>45674</v>
      </c>
      <c r="C232" s="234">
        <v>111.668159</v>
      </c>
      <c r="D232" s="235">
        <v>226.40470537113495</v>
      </c>
      <c r="E232" s="234">
        <f t="shared" si="12"/>
        <v>111.668159</v>
      </c>
      <c r="F232" s="239"/>
      <c r="G232" s="188" t="str">
        <f t="shared" si="13"/>
        <v/>
      </c>
      <c r="H232" s="236" t="str">
        <f t="shared" si="14"/>
        <v/>
      </c>
      <c r="I232" s="237"/>
    </row>
    <row r="233" spans="1:9">
      <c r="A233" s="232">
        <f t="shared" si="15"/>
        <v>231</v>
      </c>
      <c r="B233" s="233">
        <v>45675</v>
      </c>
      <c r="C233" s="234">
        <v>47.329568000000002</v>
      </c>
      <c r="D233" s="235">
        <v>226.40470537113495</v>
      </c>
      <c r="E233" s="234">
        <f t="shared" si="12"/>
        <v>47.329568000000002</v>
      </c>
      <c r="F233" s="239"/>
      <c r="G233" s="188" t="str">
        <f t="shared" si="13"/>
        <v/>
      </c>
      <c r="H233" s="236" t="str">
        <f t="shared" si="14"/>
        <v/>
      </c>
      <c r="I233" s="237"/>
    </row>
    <row r="234" spans="1:9">
      <c r="A234" s="232">
        <f t="shared" si="15"/>
        <v>232</v>
      </c>
      <c r="B234" s="233">
        <v>45676</v>
      </c>
      <c r="C234" s="234">
        <v>97.645392999999999</v>
      </c>
      <c r="D234" s="235">
        <v>226.40470537113495</v>
      </c>
      <c r="E234" s="234">
        <f t="shared" si="12"/>
        <v>97.645392999999999</v>
      </c>
      <c r="F234" s="239"/>
      <c r="G234" s="188" t="str">
        <f t="shared" si="13"/>
        <v/>
      </c>
      <c r="H234" s="236" t="str">
        <f t="shared" si="14"/>
        <v/>
      </c>
      <c r="I234" s="237"/>
    </row>
    <row r="235" spans="1:9">
      <c r="A235" s="232">
        <f t="shared" si="15"/>
        <v>233</v>
      </c>
      <c r="B235" s="233">
        <v>45677</v>
      </c>
      <c r="C235" s="234">
        <v>112.335267</v>
      </c>
      <c r="D235" s="235">
        <v>226.40470537113495</v>
      </c>
      <c r="E235" s="234">
        <f t="shared" si="12"/>
        <v>112.335267</v>
      </c>
      <c r="F235" s="239"/>
      <c r="G235" s="188" t="str">
        <f t="shared" si="13"/>
        <v/>
      </c>
      <c r="H235" s="236" t="str">
        <f t="shared" si="14"/>
        <v/>
      </c>
      <c r="I235" s="237"/>
    </row>
    <row r="236" spans="1:9">
      <c r="A236" s="232">
        <f t="shared" si="15"/>
        <v>234</v>
      </c>
      <c r="B236" s="233">
        <v>45678</v>
      </c>
      <c r="C236" s="234">
        <v>198.97339000000002</v>
      </c>
      <c r="D236" s="235">
        <v>226.40470537113495</v>
      </c>
      <c r="E236" s="234">
        <f t="shared" si="12"/>
        <v>198.97339000000002</v>
      </c>
      <c r="F236" s="239"/>
      <c r="G236" s="188" t="str">
        <f t="shared" si="13"/>
        <v/>
      </c>
      <c r="H236" s="236" t="str">
        <f t="shared" si="14"/>
        <v/>
      </c>
      <c r="I236" s="237"/>
    </row>
    <row r="237" spans="1:9">
      <c r="A237" s="232">
        <f t="shared" si="15"/>
        <v>235</v>
      </c>
      <c r="B237" s="233">
        <v>45679</v>
      </c>
      <c r="C237" s="234">
        <v>262.72833700000001</v>
      </c>
      <c r="D237" s="235">
        <v>226.40470537113495</v>
      </c>
      <c r="E237" s="234">
        <f t="shared" si="12"/>
        <v>226.40470537113495</v>
      </c>
      <c r="F237" s="239"/>
      <c r="G237" s="188" t="str">
        <f t="shared" si="13"/>
        <v/>
      </c>
      <c r="H237" s="236" t="str">
        <f t="shared" si="14"/>
        <v/>
      </c>
      <c r="I237" s="237"/>
    </row>
    <row r="238" spans="1:9">
      <c r="A238" s="232">
        <f t="shared" si="15"/>
        <v>236</v>
      </c>
      <c r="B238" s="233">
        <v>45680</v>
      </c>
      <c r="C238" s="234">
        <v>152.22953200000001</v>
      </c>
      <c r="D238" s="235">
        <v>226.40470537113495</v>
      </c>
      <c r="E238" s="234">
        <f t="shared" si="12"/>
        <v>152.22953200000001</v>
      </c>
      <c r="F238" s="239"/>
      <c r="G238" s="188" t="str">
        <f t="shared" si="13"/>
        <v/>
      </c>
      <c r="H238" s="236" t="str">
        <f t="shared" si="14"/>
        <v/>
      </c>
      <c r="I238" s="237"/>
    </row>
    <row r="239" spans="1:9">
      <c r="A239" s="232">
        <f t="shared" si="15"/>
        <v>237</v>
      </c>
      <c r="B239" s="233">
        <v>45681</v>
      </c>
      <c r="C239" s="234">
        <v>232.069152</v>
      </c>
      <c r="D239" s="235">
        <v>226.40470537113495</v>
      </c>
      <c r="E239" s="234">
        <f t="shared" si="12"/>
        <v>226.40470537113495</v>
      </c>
      <c r="F239" s="239"/>
      <c r="G239" s="188" t="str">
        <f t="shared" si="13"/>
        <v/>
      </c>
      <c r="H239" s="236" t="str">
        <f t="shared" si="14"/>
        <v/>
      </c>
      <c r="I239" s="237"/>
    </row>
    <row r="240" spans="1:9">
      <c r="A240" s="232">
        <f t="shared" si="15"/>
        <v>238</v>
      </c>
      <c r="B240" s="233">
        <v>45682</v>
      </c>
      <c r="C240" s="234">
        <v>298.78766100000001</v>
      </c>
      <c r="D240" s="235">
        <v>226.40470537113495</v>
      </c>
      <c r="E240" s="234">
        <f t="shared" si="12"/>
        <v>226.40470537113495</v>
      </c>
      <c r="F240" s="239"/>
      <c r="G240" s="188" t="str">
        <f t="shared" si="13"/>
        <v/>
      </c>
      <c r="H240" s="236" t="str">
        <f t="shared" si="14"/>
        <v/>
      </c>
      <c r="I240" s="237"/>
    </row>
    <row r="241" spans="1:9">
      <c r="A241" s="232">
        <f t="shared" si="15"/>
        <v>239</v>
      </c>
      <c r="B241" s="233">
        <v>45683</v>
      </c>
      <c r="C241" s="234">
        <v>307.81561699999997</v>
      </c>
      <c r="D241" s="235">
        <v>226.40470537113495</v>
      </c>
      <c r="E241" s="234">
        <f t="shared" si="12"/>
        <v>226.40470537113495</v>
      </c>
      <c r="F241" s="239"/>
      <c r="G241" s="188" t="str">
        <f t="shared" si="13"/>
        <v/>
      </c>
      <c r="H241" s="236" t="str">
        <f t="shared" si="14"/>
        <v/>
      </c>
      <c r="I241" s="237"/>
    </row>
    <row r="242" spans="1:9">
      <c r="A242" s="232">
        <f t="shared" si="15"/>
        <v>240</v>
      </c>
      <c r="B242" s="233">
        <v>45684</v>
      </c>
      <c r="C242" s="234">
        <v>395.08536300000003</v>
      </c>
      <c r="D242" s="235">
        <v>226.40470537113495</v>
      </c>
      <c r="E242" s="234">
        <f t="shared" si="12"/>
        <v>226.40470537113495</v>
      </c>
      <c r="F242" s="239"/>
      <c r="G242" s="188" t="str">
        <f t="shared" si="13"/>
        <v/>
      </c>
      <c r="H242" s="236" t="str">
        <f t="shared" si="14"/>
        <v/>
      </c>
      <c r="I242" s="237"/>
    </row>
    <row r="243" spans="1:9">
      <c r="A243" s="232">
        <f t="shared" si="15"/>
        <v>241</v>
      </c>
      <c r="B243" s="233">
        <v>45685</v>
      </c>
      <c r="C243" s="234">
        <v>365.613069</v>
      </c>
      <c r="D243" s="235">
        <v>226.40470537113495</v>
      </c>
      <c r="E243" s="234">
        <f t="shared" si="12"/>
        <v>226.40470537113495</v>
      </c>
      <c r="F243" s="239"/>
      <c r="G243" s="188" t="str">
        <f t="shared" si="13"/>
        <v/>
      </c>
      <c r="H243" s="236" t="str">
        <f t="shared" si="14"/>
        <v/>
      </c>
      <c r="I243" s="237"/>
    </row>
    <row r="244" spans="1:9">
      <c r="A244" s="232">
        <f t="shared" si="15"/>
        <v>242</v>
      </c>
      <c r="B244" s="233">
        <v>45686</v>
      </c>
      <c r="C244" s="234">
        <v>335.63021800000001</v>
      </c>
      <c r="D244" s="235">
        <v>226.40470537113495</v>
      </c>
      <c r="E244" s="234">
        <f t="shared" si="12"/>
        <v>226.40470537113495</v>
      </c>
      <c r="F244" s="239"/>
      <c r="G244" s="188" t="str">
        <f t="shared" si="13"/>
        <v/>
      </c>
      <c r="H244" s="236" t="str">
        <f t="shared" si="14"/>
        <v/>
      </c>
      <c r="I244" s="237"/>
    </row>
    <row r="245" spans="1:9">
      <c r="A245" s="232">
        <f t="shared" si="15"/>
        <v>243</v>
      </c>
      <c r="B245" s="233">
        <v>45687</v>
      </c>
      <c r="C245" s="234">
        <v>311.695176</v>
      </c>
      <c r="D245" s="235">
        <v>226.40470537113495</v>
      </c>
      <c r="E245" s="234">
        <f t="shared" si="12"/>
        <v>226.40470537113495</v>
      </c>
      <c r="F245" s="239"/>
      <c r="G245" s="188" t="str">
        <f t="shared" si="13"/>
        <v/>
      </c>
      <c r="H245" s="236" t="str">
        <f t="shared" si="14"/>
        <v/>
      </c>
      <c r="I245" s="237"/>
    </row>
    <row r="246" spans="1:9">
      <c r="A246" s="232">
        <f t="shared" si="15"/>
        <v>244</v>
      </c>
      <c r="B246" s="233">
        <v>45688</v>
      </c>
      <c r="C246" s="234">
        <v>202.28360000000001</v>
      </c>
      <c r="D246" s="235">
        <v>226.40470537113495</v>
      </c>
      <c r="E246" s="234">
        <f t="shared" si="12"/>
        <v>202.28360000000001</v>
      </c>
      <c r="F246" s="239"/>
      <c r="G246" s="188" t="str">
        <f t="shared" si="13"/>
        <v/>
      </c>
      <c r="H246" s="236" t="str">
        <f t="shared" si="14"/>
        <v/>
      </c>
      <c r="I246" s="237"/>
    </row>
    <row r="247" spans="1:9">
      <c r="A247" s="232">
        <f t="shared" si="15"/>
        <v>245</v>
      </c>
      <c r="B247" s="233">
        <v>45689</v>
      </c>
      <c r="C247" s="234">
        <v>164.034176</v>
      </c>
      <c r="D247" s="235">
        <v>230.08779404005472</v>
      </c>
      <c r="E247" s="234">
        <f t="shared" si="12"/>
        <v>164.034176</v>
      </c>
      <c r="F247" s="237"/>
      <c r="G247" s="188" t="str">
        <f t="shared" si="13"/>
        <v/>
      </c>
      <c r="H247" s="236" t="str">
        <f t="shared" si="14"/>
        <v/>
      </c>
      <c r="I247" s="237"/>
    </row>
    <row r="248" spans="1:9">
      <c r="A248" s="232">
        <f t="shared" si="15"/>
        <v>246</v>
      </c>
      <c r="B248" s="233">
        <v>45690</v>
      </c>
      <c r="C248" s="234">
        <v>104.071662</v>
      </c>
      <c r="D248" s="235">
        <v>230.08779404005472</v>
      </c>
      <c r="E248" s="234">
        <f t="shared" si="12"/>
        <v>104.071662</v>
      </c>
      <c r="F248" s="239"/>
      <c r="G248" s="188" t="str">
        <f t="shared" si="13"/>
        <v/>
      </c>
      <c r="H248" s="236" t="str">
        <f t="shared" si="14"/>
        <v/>
      </c>
      <c r="I248" s="237"/>
    </row>
    <row r="249" spans="1:9">
      <c r="A249" s="232">
        <f t="shared" si="15"/>
        <v>247</v>
      </c>
      <c r="B249" s="233">
        <v>45691</v>
      </c>
      <c r="C249" s="234">
        <v>98.976224000000002</v>
      </c>
      <c r="D249" s="235">
        <v>230.08779404005472</v>
      </c>
      <c r="E249" s="234">
        <f t="shared" si="12"/>
        <v>98.976224000000002</v>
      </c>
      <c r="F249" s="239"/>
      <c r="G249" s="188" t="str">
        <f t="shared" si="13"/>
        <v/>
      </c>
      <c r="H249" s="236" t="str">
        <f t="shared" si="14"/>
        <v/>
      </c>
      <c r="I249" s="237"/>
    </row>
    <row r="250" spans="1:9">
      <c r="A250" s="232">
        <f t="shared" si="15"/>
        <v>248</v>
      </c>
      <c r="B250" s="233">
        <v>45692</v>
      </c>
      <c r="C250" s="234">
        <v>54.098143</v>
      </c>
      <c r="D250" s="235">
        <v>230.08779404005472</v>
      </c>
      <c r="E250" s="234">
        <f t="shared" si="12"/>
        <v>54.098143</v>
      </c>
      <c r="F250" s="239"/>
      <c r="G250" s="188" t="str">
        <f t="shared" si="13"/>
        <v/>
      </c>
      <c r="H250" s="236" t="str">
        <f t="shared" si="14"/>
        <v/>
      </c>
      <c r="I250" s="237"/>
    </row>
    <row r="251" spans="1:9">
      <c r="A251" s="232">
        <f t="shared" si="15"/>
        <v>249</v>
      </c>
      <c r="B251" s="233">
        <v>45693</v>
      </c>
      <c r="C251" s="234">
        <v>118.19268799999999</v>
      </c>
      <c r="D251" s="235">
        <v>230.08779404005472</v>
      </c>
      <c r="E251" s="234">
        <f t="shared" si="12"/>
        <v>118.19268799999999</v>
      </c>
      <c r="F251" s="239"/>
      <c r="G251" s="188" t="str">
        <f t="shared" si="13"/>
        <v/>
      </c>
      <c r="H251" s="236" t="str">
        <f t="shared" si="14"/>
        <v/>
      </c>
      <c r="I251" s="237"/>
    </row>
    <row r="252" spans="1:9">
      <c r="A252" s="232">
        <f t="shared" si="15"/>
        <v>250</v>
      </c>
      <c r="B252" s="233">
        <v>45694</v>
      </c>
      <c r="C252" s="234">
        <v>46.433995000000003</v>
      </c>
      <c r="D252" s="235">
        <v>230.08779404005472</v>
      </c>
      <c r="E252" s="234">
        <f t="shared" si="12"/>
        <v>46.433995000000003</v>
      </c>
      <c r="F252" s="239"/>
      <c r="G252" s="188" t="str">
        <f t="shared" si="13"/>
        <v/>
      </c>
      <c r="H252" s="236" t="str">
        <f t="shared" si="14"/>
        <v/>
      </c>
      <c r="I252" s="237"/>
    </row>
    <row r="253" spans="1:9">
      <c r="A253" s="232">
        <f t="shared" si="15"/>
        <v>251</v>
      </c>
      <c r="B253" s="233">
        <v>45695</v>
      </c>
      <c r="C253" s="234">
        <v>200.898404</v>
      </c>
      <c r="D253" s="235">
        <v>230.08779404005472</v>
      </c>
      <c r="E253" s="234">
        <f t="shared" si="12"/>
        <v>200.898404</v>
      </c>
      <c r="F253" s="239"/>
      <c r="G253" s="188" t="str">
        <f t="shared" si="13"/>
        <v/>
      </c>
      <c r="H253" s="236" t="str">
        <f t="shared" si="14"/>
        <v/>
      </c>
      <c r="I253" s="237"/>
    </row>
    <row r="254" spans="1:9">
      <c r="A254" s="232">
        <f t="shared" si="15"/>
        <v>252</v>
      </c>
      <c r="B254" s="233">
        <v>45696</v>
      </c>
      <c r="C254" s="234">
        <v>164.69902599999998</v>
      </c>
      <c r="D254" s="235">
        <v>230.08779404005472</v>
      </c>
      <c r="E254" s="234">
        <f t="shared" si="12"/>
        <v>164.69902599999998</v>
      </c>
      <c r="F254" s="239"/>
      <c r="G254" s="188" t="str">
        <f t="shared" si="13"/>
        <v/>
      </c>
      <c r="H254" s="236" t="str">
        <f t="shared" si="14"/>
        <v/>
      </c>
      <c r="I254" s="237"/>
    </row>
    <row r="255" spans="1:9">
      <c r="A255" s="232">
        <f t="shared" si="15"/>
        <v>253</v>
      </c>
      <c r="B255" s="233">
        <v>45697</v>
      </c>
      <c r="C255" s="234">
        <v>105.061021</v>
      </c>
      <c r="D255" s="235">
        <v>230.08779404005472</v>
      </c>
      <c r="E255" s="234">
        <f t="shared" si="12"/>
        <v>105.061021</v>
      </c>
      <c r="F255" s="239"/>
      <c r="G255" s="188" t="str">
        <f t="shared" si="13"/>
        <v/>
      </c>
      <c r="H255" s="236" t="str">
        <f t="shared" si="14"/>
        <v/>
      </c>
      <c r="I255" s="237"/>
    </row>
    <row r="256" spans="1:9">
      <c r="A256" s="232">
        <f t="shared" si="15"/>
        <v>254</v>
      </c>
      <c r="B256" s="233">
        <v>45698</v>
      </c>
      <c r="C256" s="234">
        <v>91.126620000000017</v>
      </c>
      <c r="D256" s="235">
        <v>230.08779404005472</v>
      </c>
      <c r="E256" s="234">
        <f t="shared" si="12"/>
        <v>91.126620000000017</v>
      </c>
      <c r="F256" s="239"/>
      <c r="G256" s="188" t="str">
        <f t="shared" si="13"/>
        <v/>
      </c>
      <c r="H256" s="236" t="str">
        <f t="shared" si="14"/>
        <v/>
      </c>
      <c r="I256" s="237"/>
    </row>
    <row r="257" spans="1:9">
      <c r="A257" s="232">
        <f t="shared" si="15"/>
        <v>255</v>
      </c>
      <c r="B257" s="233">
        <v>45699</v>
      </c>
      <c r="C257" s="234">
        <v>153.79465200000001</v>
      </c>
      <c r="D257" s="235">
        <v>230.08779404005472</v>
      </c>
      <c r="E257" s="234">
        <f t="shared" si="12"/>
        <v>153.79465200000001</v>
      </c>
      <c r="F257" s="239"/>
      <c r="G257" s="188" t="str">
        <f t="shared" si="13"/>
        <v/>
      </c>
      <c r="H257" s="236" t="str">
        <f t="shared" si="14"/>
        <v/>
      </c>
      <c r="I257" s="237"/>
    </row>
    <row r="258" spans="1:9">
      <c r="A258" s="232">
        <f t="shared" si="15"/>
        <v>256</v>
      </c>
      <c r="B258" s="233">
        <v>45700</v>
      </c>
      <c r="C258" s="234">
        <v>195.92666699999998</v>
      </c>
      <c r="D258" s="235">
        <v>230.08779404005472</v>
      </c>
      <c r="E258" s="234">
        <f t="shared" si="12"/>
        <v>195.92666699999998</v>
      </c>
      <c r="F258" s="239"/>
      <c r="G258" s="188" t="str">
        <f t="shared" si="13"/>
        <v/>
      </c>
      <c r="H258" s="236" t="str">
        <f t="shared" si="14"/>
        <v/>
      </c>
      <c r="I258" s="237"/>
    </row>
    <row r="259" spans="1:9">
      <c r="A259" s="232">
        <f t="shared" si="15"/>
        <v>257</v>
      </c>
      <c r="B259" s="233">
        <v>45701</v>
      </c>
      <c r="C259" s="234">
        <v>153.23369399999999</v>
      </c>
      <c r="D259" s="235">
        <v>230.08779404005472</v>
      </c>
      <c r="E259" s="234">
        <f t="shared" ref="E259:E322" si="16">IF(C259&gt;D259,D259,C259)</f>
        <v>153.23369399999999</v>
      </c>
      <c r="F259" s="239"/>
      <c r="G259" s="188" t="str">
        <f t="shared" ref="G259:G322" si="17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236" t="str">
        <f t="shared" ref="H259:H322" si="18">IF(DAY($B259)=15,TEXT(D259,"#,0"),"")</f>
        <v/>
      </c>
      <c r="I259" s="237"/>
    </row>
    <row r="260" spans="1:9">
      <c r="A260" s="232">
        <f t="shared" ref="A260:A323" si="19">+A259+1</f>
        <v>258</v>
      </c>
      <c r="B260" s="233">
        <v>45702</v>
      </c>
      <c r="C260" s="234">
        <v>105.41158900000001</v>
      </c>
      <c r="D260" s="235">
        <v>230.08779404005472</v>
      </c>
      <c r="E260" s="234">
        <f t="shared" si="16"/>
        <v>105.41158900000001</v>
      </c>
      <c r="F260" s="239"/>
      <c r="G260" s="188" t="str">
        <f t="shared" si="17"/>
        <v/>
      </c>
      <c r="H260" s="236" t="str">
        <f t="shared" si="18"/>
        <v/>
      </c>
      <c r="I260" s="237"/>
    </row>
    <row r="261" spans="1:9">
      <c r="A261" s="232">
        <f t="shared" si="19"/>
        <v>259</v>
      </c>
      <c r="B261" s="233">
        <v>45703</v>
      </c>
      <c r="C261" s="234">
        <v>113.02801600000001</v>
      </c>
      <c r="D261" s="235">
        <v>230.08779404005472</v>
      </c>
      <c r="E261" s="234">
        <f t="shared" si="16"/>
        <v>113.02801600000001</v>
      </c>
      <c r="G261" s="188" t="str">
        <f t="shared" si="17"/>
        <v>F</v>
      </c>
      <c r="H261" s="236" t="str">
        <f t="shared" si="18"/>
        <v>230,1</v>
      </c>
      <c r="I261" s="237"/>
    </row>
    <row r="262" spans="1:9">
      <c r="A262" s="232">
        <f t="shared" si="19"/>
        <v>260</v>
      </c>
      <c r="B262" s="233">
        <v>45704</v>
      </c>
      <c r="C262" s="234">
        <v>58.857105000000004</v>
      </c>
      <c r="D262" s="235">
        <v>230.08779404005472</v>
      </c>
      <c r="E262" s="234">
        <f t="shared" si="16"/>
        <v>58.857105000000004</v>
      </c>
      <c r="F262" s="239"/>
      <c r="G262" s="188" t="str">
        <f t="shared" si="17"/>
        <v/>
      </c>
      <c r="H262" s="236" t="str">
        <f t="shared" si="18"/>
        <v/>
      </c>
      <c r="I262" s="237"/>
    </row>
    <row r="263" spans="1:9">
      <c r="A263" s="232">
        <f t="shared" si="19"/>
        <v>261</v>
      </c>
      <c r="B263" s="233">
        <v>45705</v>
      </c>
      <c r="C263" s="234">
        <v>54.882724000000003</v>
      </c>
      <c r="D263" s="235">
        <v>230.08779404005472</v>
      </c>
      <c r="E263" s="234">
        <f t="shared" si="16"/>
        <v>54.882724000000003</v>
      </c>
      <c r="F263" s="239"/>
      <c r="G263" s="188" t="str">
        <f t="shared" si="17"/>
        <v/>
      </c>
      <c r="H263" s="236" t="str">
        <f t="shared" si="18"/>
        <v/>
      </c>
      <c r="I263" s="237"/>
    </row>
    <row r="264" spans="1:9">
      <c r="A264" s="232">
        <f t="shared" si="19"/>
        <v>262</v>
      </c>
      <c r="B264" s="233">
        <v>45706</v>
      </c>
      <c r="C264" s="234">
        <v>178.157702</v>
      </c>
      <c r="D264" s="235">
        <v>230.08779404005472</v>
      </c>
      <c r="E264" s="234">
        <f t="shared" si="16"/>
        <v>178.157702</v>
      </c>
      <c r="F264" s="239"/>
      <c r="G264" s="188" t="str">
        <f t="shared" si="17"/>
        <v/>
      </c>
      <c r="H264" s="236" t="str">
        <f t="shared" si="18"/>
        <v/>
      </c>
      <c r="I264" s="237"/>
    </row>
    <row r="265" spans="1:9">
      <c r="A265" s="232">
        <f t="shared" si="19"/>
        <v>263</v>
      </c>
      <c r="B265" s="233">
        <v>45707</v>
      </c>
      <c r="C265" s="234">
        <v>67.117097999999999</v>
      </c>
      <c r="D265" s="235">
        <v>230.08779404005472</v>
      </c>
      <c r="E265" s="234">
        <f t="shared" si="16"/>
        <v>67.117097999999999</v>
      </c>
      <c r="F265" s="239"/>
      <c r="G265" s="188" t="str">
        <f t="shared" si="17"/>
        <v/>
      </c>
      <c r="H265" s="236" t="str">
        <f t="shared" si="18"/>
        <v/>
      </c>
      <c r="I265" s="237"/>
    </row>
    <row r="266" spans="1:9">
      <c r="A266" s="232">
        <f t="shared" si="19"/>
        <v>264</v>
      </c>
      <c r="B266" s="233">
        <v>45708</v>
      </c>
      <c r="C266" s="234">
        <v>109.534372</v>
      </c>
      <c r="D266" s="235">
        <v>230.08779404005472</v>
      </c>
      <c r="E266" s="234">
        <f t="shared" si="16"/>
        <v>109.534372</v>
      </c>
      <c r="F266" s="239"/>
      <c r="G266" s="188" t="str">
        <f t="shared" si="17"/>
        <v/>
      </c>
      <c r="H266" s="236" t="str">
        <f t="shared" si="18"/>
        <v/>
      </c>
      <c r="I266" s="237"/>
    </row>
    <row r="267" spans="1:9">
      <c r="A267" s="232">
        <f t="shared" si="19"/>
        <v>265</v>
      </c>
      <c r="B267" s="233">
        <v>45709</v>
      </c>
      <c r="C267" s="234">
        <v>290.61599800000005</v>
      </c>
      <c r="D267" s="235">
        <v>230.08779404005472</v>
      </c>
      <c r="E267" s="234">
        <f t="shared" si="16"/>
        <v>230.08779404005472</v>
      </c>
      <c r="F267" s="239"/>
      <c r="G267" s="188" t="str">
        <f t="shared" si="17"/>
        <v/>
      </c>
      <c r="H267" s="236" t="str">
        <f t="shared" si="18"/>
        <v/>
      </c>
      <c r="I267" s="237"/>
    </row>
    <row r="268" spans="1:9">
      <c r="A268" s="232">
        <f t="shared" si="19"/>
        <v>266</v>
      </c>
      <c r="B268" s="233">
        <v>45710</v>
      </c>
      <c r="C268" s="234">
        <v>130.755921</v>
      </c>
      <c r="D268" s="235">
        <v>230.08779404005472</v>
      </c>
      <c r="E268" s="234">
        <f t="shared" si="16"/>
        <v>130.755921</v>
      </c>
      <c r="F268" s="239"/>
      <c r="G268" s="188" t="str">
        <f t="shared" si="17"/>
        <v/>
      </c>
      <c r="H268" s="236" t="str">
        <f t="shared" si="18"/>
        <v/>
      </c>
      <c r="I268" s="237"/>
    </row>
    <row r="269" spans="1:9">
      <c r="A269" s="232">
        <f t="shared" si="19"/>
        <v>267</v>
      </c>
      <c r="B269" s="233">
        <v>45711</v>
      </c>
      <c r="C269" s="234">
        <v>109.82341000000001</v>
      </c>
      <c r="D269" s="235">
        <v>230.08779404005472</v>
      </c>
      <c r="E269" s="234">
        <f t="shared" si="16"/>
        <v>109.82341000000001</v>
      </c>
      <c r="F269" s="239"/>
      <c r="G269" s="188" t="str">
        <f t="shared" si="17"/>
        <v/>
      </c>
      <c r="H269" s="236" t="str">
        <f t="shared" si="18"/>
        <v/>
      </c>
      <c r="I269" s="237"/>
    </row>
    <row r="270" spans="1:9">
      <c r="A270" s="232">
        <f t="shared" si="19"/>
        <v>268</v>
      </c>
      <c r="B270" s="233">
        <v>45712</v>
      </c>
      <c r="C270" s="234">
        <v>189.69959800000001</v>
      </c>
      <c r="D270" s="235">
        <v>230.08779404005472</v>
      </c>
      <c r="E270" s="234">
        <f t="shared" si="16"/>
        <v>189.69959800000001</v>
      </c>
      <c r="F270" s="239"/>
      <c r="G270" s="188" t="str">
        <f t="shared" si="17"/>
        <v/>
      </c>
      <c r="H270" s="236" t="str">
        <f t="shared" si="18"/>
        <v/>
      </c>
      <c r="I270" s="237"/>
    </row>
    <row r="271" spans="1:9">
      <c r="A271" s="232">
        <f t="shared" si="19"/>
        <v>269</v>
      </c>
      <c r="B271" s="233">
        <v>45713</v>
      </c>
      <c r="C271" s="234">
        <v>271.68280799999997</v>
      </c>
      <c r="D271" s="235">
        <v>230.08779404005472</v>
      </c>
      <c r="E271" s="234">
        <f t="shared" si="16"/>
        <v>230.08779404005472</v>
      </c>
      <c r="F271" s="239"/>
      <c r="G271" s="188" t="str">
        <f t="shared" si="17"/>
        <v/>
      </c>
      <c r="H271" s="236" t="str">
        <f t="shared" si="18"/>
        <v/>
      </c>
      <c r="I271" s="237"/>
    </row>
    <row r="272" spans="1:9">
      <c r="A272" s="232">
        <f t="shared" si="19"/>
        <v>270</v>
      </c>
      <c r="B272" s="233">
        <v>45714</v>
      </c>
      <c r="C272" s="234">
        <v>114.33936200000001</v>
      </c>
      <c r="D272" s="235">
        <v>230.08779404005472</v>
      </c>
      <c r="E272" s="234">
        <f t="shared" si="16"/>
        <v>114.33936200000001</v>
      </c>
      <c r="F272" s="239"/>
      <c r="G272" s="188" t="str">
        <f t="shared" si="17"/>
        <v/>
      </c>
      <c r="H272" s="236" t="str">
        <f t="shared" si="18"/>
        <v/>
      </c>
      <c r="I272" s="237"/>
    </row>
    <row r="273" spans="1:9">
      <c r="A273" s="232">
        <f t="shared" si="19"/>
        <v>271</v>
      </c>
      <c r="B273" s="233">
        <v>45715</v>
      </c>
      <c r="C273" s="234">
        <v>32.310867000000002</v>
      </c>
      <c r="D273" s="235">
        <v>230.08779404005472</v>
      </c>
      <c r="E273" s="234">
        <f t="shared" si="16"/>
        <v>32.310867000000002</v>
      </c>
      <c r="F273" s="239"/>
      <c r="G273" s="188" t="str">
        <f t="shared" si="17"/>
        <v/>
      </c>
      <c r="H273" s="236" t="str">
        <f t="shared" si="18"/>
        <v/>
      </c>
      <c r="I273" s="237"/>
    </row>
    <row r="274" spans="1:9">
      <c r="A274" s="232">
        <f t="shared" si="19"/>
        <v>272</v>
      </c>
      <c r="B274" s="233">
        <v>45716</v>
      </c>
      <c r="C274" s="234">
        <v>167.25509499999998</v>
      </c>
      <c r="D274" s="235">
        <v>230.08779404005472</v>
      </c>
      <c r="E274" s="234">
        <f t="shared" si="16"/>
        <v>167.25509499999998</v>
      </c>
      <c r="F274" s="239"/>
      <c r="G274" s="188" t="str">
        <f t="shared" si="17"/>
        <v/>
      </c>
      <c r="H274" s="236" t="str">
        <f t="shared" si="18"/>
        <v/>
      </c>
      <c r="I274" s="237"/>
    </row>
    <row r="275" spans="1:9">
      <c r="A275" s="232">
        <f t="shared" si="19"/>
        <v>273</v>
      </c>
      <c r="B275" s="233">
        <v>45717</v>
      </c>
      <c r="C275" s="234">
        <v>312.80114600000002</v>
      </c>
      <c r="D275" s="235">
        <v>230.25404321401714</v>
      </c>
      <c r="E275" s="234">
        <f t="shared" si="16"/>
        <v>230.25404321401714</v>
      </c>
      <c r="F275" s="239"/>
      <c r="G275" s="188" t="str">
        <f t="shared" si="17"/>
        <v/>
      </c>
      <c r="H275" s="236" t="str">
        <f t="shared" si="18"/>
        <v/>
      </c>
      <c r="I275" s="237"/>
    </row>
    <row r="276" spans="1:9">
      <c r="A276" s="232">
        <f t="shared" si="19"/>
        <v>274</v>
      </c>
      <c r="B276" s="233">
        <v>45718</v>
      </c>
      <c r="C276" s="234">
        <v>277.155551</v>
      </c>
      <c r="D276" s="235">
        <v>230.25404321401714</v>
      </c>
      <c r="E276" s="234">
        <f t="shared" si="16"/>
        <v>230.25404321401714</v>
      </c>
      <c r="F276" s="239"/>
      <c r="G276" s="188" t="str">
        <f t="shared" si="17"/>
        <v/>
      </c>
      <c r="H276" s="236" t="str">
        <f t="shared" si="18"/>
        <v/>
      </c>
      <c r="I276" s="237"/>
    </row>
    <row r="277" spans="1:9">
      <c r="A277" s="232">
        <f t="shared" si="19"/>
        <v>275</v>
      </c>
      <c r="B277" s="233">
        <v>45719</v>
      </c>
      <c r="C277" s="234">
        <v>244.36483500000003</v>
      </c>
      <c r="D277" s="235">
        <v>230.25404321401714</v>
      </c>
      <c r="E277" s="234">
        <f t="shared" si="16"/>
        <v>230.25404321401714</v>
      </c>
      <c r="F277" s="237"/>
      <c r="G277" s="188" t="str">
        <f t="shared" si="17"/>
        <v/>
      </c>
      <c r="H277" s="236" t="str">
        <f t="shared" si="18"/>
        <v/>
      </c>
      <c r="I277" s="237"/>
    </row>
    <row r="278" spans="1:9">
      <c r="A278" s="232">
        <f t="shared" si="19"/>
        <v>276</v>
      </c>
      <c r="B278" s="233">
        <v>45720</v>
      </c>
      <c r="C278" s="234">
        <v>243.57404799999998</v>
      </c>
      <c r="D278" s="235">
        <v>230.25404321401714</v>
      </c>
      <c r="E278" s="234">
        <f t="shared" si="16"/>
        <v>230.25404321401714</v>
      </c>
      <c r="F278" s="239"/>
      <c r="G278" s="188" t="str">
        <f t="shared" si="17"/>
        <v/>
      </c>
      <c r="H278" s="236" t="str">
        <f t="shared" si="18"/>
        <v/>
      </c>
      <c r="I278" s="237"/>
    </row>
    <row r="279" spans="1:9">
      <c r="A279" s="232">
        <f t="shared" si="19"/>
        <v>277</v>
      </c>
      <c r="B279" s="233">
        <v>45721</v>
      </c>
      <c r="C279" s="234">
        <v>258.912554</v>
      </c>
      <c r="D279" s="235">
        <v>230.25404321401714</v>
      </c>
      <c r="E279" s="234">
        <f t="shared" si="16"/>
        <v>230.25404321401714</v>
      </c>
      <c r="F279" s="239"/>
      <c r="G279" s="188" t="str">
        <f t="shared" si="17"/>
        <v/>
      </c>
      <c r="H279" s="236" t="str">
        <f t="shared" si="18"/>
        <v/>
      </c>
      <c r="I279" s="237"/>
    </row>
    <row r="280" spans="1:9">
      <c r="A280" s="232">
        <f t="shared" si="19"/>
        <v>278</v>
      </c>
      <c r="B280" s="233">
        <v>45722</v>
      </c>
      <c r="C280" s="234">
        <v>245.79915800000001</v>
      </c>
      <c r="D280" s="235">
        <v>230.25404321401714</v>
      </c>
      <c r="E280" s="234">
        <f t="shared" si="16"/>
        <v>230.25404321401714</v>
      </c>
      <c r="F280" s="239"/>
      <c r="G280" s="188" t="str">
        <f t="shared" si="17"/>
        <v/>
      </c>
      <c r="H280" s="236" t="str">
        <f t="shared" si="18"/>
        <v/>
      </c>
      <c r="I280" s="237"/>
    </row>
    <row r="281" spans="1:9">
      <c r="A281" s="232">
        <f t="shared" si="19"/>
        <v>279</v>
      </c>
      <c r="B281" s="233">
        <v>45723</v>
      </c>
      <c r="C281" s="234">
        <v>286.91133000000002</v>
      </c>
      <c r="D281" s="235">
        <v>230.25404321401714</v>
      </c>
      <c r="E281" s="234">
        <f t="shared" si="16"/>
        <v>230.25404321401714</v>
      </c>
      <c r="F281" s="239"/>
      <c r="G281" s="188" t="str">
        <f t="shared" si="17"/>
        <v/>
      </c>
      <c r="H281" s="236" t="str">
        <f t="shared" si="18"/>
        <v/>
      </c>
      <c r="I281" s="237"/>
    </row>
    <row r="282" spans="1:9">
      <c r="A282" s="232">
        <f t="shared" si="19"/>
        <v>280</v>
      </c>
      <c r="B282" s="233">
        <v>45724</v>
      </c>
      <c r="C282" s="234">
        <v>346.55333499999995</v>
      </c>
      <c r="D282" s="235">
        <v>230.25404321401714</v>
      </c>
      <c r="E282" s="234">
        <f t="shared" si="16"/>
        <v>230.25404321401714</v>
      </c>
      <c r="F282" s="239"/>
      <c r="G282" s="188" t="str">
        <f t="shared" si="17"/>
        <v/>
      </c>
      <c r="H282" s="236" t="str">
        <f t="shared" si="18"/>
        <v/>
      </c>
      <c r="I282" s="237"/>
    </row>
    <row r="283" spans="1:9">
      <c r="A283" s="232">
        <f t="shared" si="19"/>
        <v>281</v>
      </c>
      <c r="B283" s="233">
        <v>45725</v>
      </c>
      <c r="C283" s="234">
        <v>173.17262500000001</v>
      </c>
      <c r="D283" s="235">
        <v>230.25404321401714</v>
      </c>
      <c r="E283" s="234">
        <f t="shared" si="16"/>
        <v>173.17262500000001</v>
      </c>
      <c r="F283" s="239"/>
      <c r="G283" s="188" t="str">
        <f t="shared" si="17"/>
        <v/>
      </c>
      <c r="H283" s="236" t="str">
        <f t="shared" si="18"/>
        <v/>
      </c>
      <c r="I283" s="237"/>
    </row>
    <row r="284" spans="1:9">
      <c r="A284" s="232">
        <f t="shared" si="19"/>
        <v>282</v>
      </c>
      <c r="B284" s="233">
        <v>45726</v>
      </c>
      <c r="C284" s="234">
        <v>136.88351800000001</v>
      </c>
      <c r="D284" s="235">
        <v>230.25404321401714</v>
      </c>
      <c r="E284" s="234">
        <f t="shared" si="16"/>
        <v>136.88351800000001</v>
      </c>
      <c r="F284" s="239"/>
      <c r="G284" s="188" t="str">
        <f t="shared" si="17"/>
        <v/>
      </c>
      <c r="H284" s="236" t="str">
        <f t="shared" si="18"/>
        <v/>
      </c>
      <c r="I284" s="237"/>
    </row>
    <row r="285" spans="1:9">
      <c r="A285" s="232">
        <f t="shared" si="19"/>
        <v>283</v>
      </c>
      <c r="B285" s="233">
        <v>45727</v>
      </c>
      <c r="C285" s="234">
        <v>181.39284099999998</v>
      </c>
      <c r="D285" s="235">
        <v>230.25404321401714</v>
      </c>
      <c r="E285" s="234">
        <f t="shared" si="16"/>
        <v>181.39284099999998</v>
      </c>
      <c r="F285" s="239"/>
      <c r="G285" s="188" t="str">
        <f t="shared" si="17"/>
        <v/>
      </c>
      <c r="H285" s="236" t="str">
        <f t="shared" si="18"/>
        <v/>
      </c>
      <c r="I285" s="237"/>
    </row>
    <row r="286" spans="1:9">
      <c r="A286" s="232">
        <f t="shared" si="19"/>
        <v>284</v>
      </c>
      <c r="B286" s="233">
        <v>45728</v>
      </c>
      <c r="C286" s="234">
        <v>198.59299299999998</v>
      </c>
      <c r="D286" s="235">
        <v>230.25404321401714</v>
      </c>
      <c r="E286" s="234">
        <f t="shared" si="16"/>
        <v>198.59299299999998</v>
      </c>
      <c r="F286" s="239"/>
      <c r="G286" s="188" t="str">
        <f t="shared" si="17"/>
        <v/>
      </c>
      <c r="H286" s="236" t="str">
        <f t="shared" si="18"/>
        <v/>
      </c>
      <c r="I286" s="237"/>
    </row>
    <row r="287" spans="1:9">
      <c r="A287" s="232">
        <f t="shared" si="19"/>
        <v>285</v>
      </c>
      <c r="B287" s="233">
        <v>45729</v>
      </c>
      <c r="C287" s="234">
        <v>180.97653099999999</v>
      </c>
      <c r="D287" s="235">
        <v>230.25404321401714</v>
      </c>
      <c r="E287" s="234">
        <f t="shared" si="16"/>
        <v>180.97653099999999</v>
      </c>
      <c r="F287" s="239"/>
      <c r="G287" s="188" t="str">
        <f t="shared" si="17"/>
        <v/>
      </c>
      <c r="H287" s="236" t="str">
        <f t="shared" si="18"/>
        <v/>
      </c>
      <c r="I287" s="237"/>
    </row>
    <row r="288" spans="1:9">
      <c r="A288" s="232">
        <f t="shared" si="19"/>
        <v>286</v>
      </c>
      <c r="B288" s="233">
        <v>45730</v>
      </c>
      <c r="C288" s="234">
        <v>213.04121499999999</v>
      </c>
      <c r="D288" s="235">
        <v>230.25404321401714</v>
      </c>
      <c r="E288" s="234">
        <f t="shared" si="16"/>
        <v>213.04121499999999</v>
      </c>
      <c r="F288" s="239"/>
      <c r="G288" s="188" t="str">
        <f t="shared" si="17"/>
        <v/>
      </c>
      <c r="H288" s="236" t="str">
        <f t="shared" si="18"/>
        <v/>
      </c>
      <c r="I288" s="237"/>
    </row>
    <row r="289" spans="1:9">
      <c r="A289" s="232">
        <f t="shared" si="19"/>
        <v>287</v>
      </c>
      <c r="B289" s="233">
        <v>45731</v>
      </c>
      <c r="C289" s="234">
        <v>142.68793599999998</v>
      </c>
      <c r="D289" s="235">
        <v>230.25404321401714</v>
      </c>
      <c r="E289" s="234">
        <f t="shared" si="16"/>
        <v>142.68793599999998</v>
      </c>
      <c r="F289" s="239"/>
      <c r="G289" s="188" t="str">
        <f t="shared" si="17"/>
        <v>M</v>
      </c>
      <c r="H289" s="236" t="str">
        <f t="shared" si="18"/>
        <v>230,3</v>
      </c>
      <c r="I289" s="237"/>
    </row>
    <row r="290" spans="1:9">
      <c r="A290" s="232">
        <f t="shared" si="19"/>
        <v>288</v>
      </c>
      <c r="B290" s="233">
        <v>45732</v>
      </c>
      <c r="C290" s="234">
        <v>95.977497</v>
      </c>
      <c r="D290" s="235">
        <v>230.25404321401714</v>
      </c>
      <c r="E290" s="234">
        <f t="shared" si="16"/>
        <v>95.977497</v>
      </c>
      <c r="F290" s="239"/>
      <c r="G290" s="188" t="str">
        <f t="shared" si="17"/>
        <v/>
      </c>
      <c r="H290" s="236" t="str">
        <f t="shared" si="18"/>
        <v/>
      </c>
      <c r="I290" s="237"/>
    </row>
    <row r="291" spans="1:9">
      <c r="A291" s="232">
        <f t="shared" si="19"/>
        <v>289</v>
      </c>
      <c r="B291" s="233">
        <v>45733</v>
      </c>
      <c r="C291" s="234">
        <v>141.29913500000001</v>
      </c>
      <c r="D291" s="235">
        <v>230.25404321401714</v>
      </c>
      <c r="E291" s="234">
        <f t="shared" si="16"/>
        <v>141.29913500000001</v>
      </c>
      <c r="F291" s="237"/>
      <c r="G291" s="188" t="str">
        <f t="shared" si="17"/>
        <v/>
      </c>
      <c r="H291" s="236" t="str">
        <f t="shared" si="18"/>
        <v/>
      </c>
      <c r="I291" s="237"/>
    </row>
    <row r="292" spans="1:9">
      <c r="A292" s="232">
        <f t="shared" si="19"/>
        <v>290</v>
      </c>
      <c r="B292" s="233">
        <v>45734</v>
      </c>
      <c r="C292" s="234">
        <v>235.92347999999998</v>
      </c>
      <c r="D292" s="235">
        <v>230.25404321401714</v>
      </c>
      <c r="E292" s="234">
        <f t="shared" si="16"/>
        <v>230.25404321401714</v>
      </c>
      <c r="F292" s="239"/>
      <c r="G292" s="188" t="str">
        <f t="shared" si="17"/>
        <v/>
      </c>
      <c r="H292" s="236" t="str">
        <f t="shared" si="18"/>
        <v/>
      </c>
      <c r="I292" s="237"/>
    </row>
    <row r="293" spans="1:9">
      <c r="A293" s="232">
        <f t="shared" si="19"/>
        <v>291</v>
      </c>
      <c r="B293" s="233">
        <v>45735</v>
      </c>
      <c r="C293" s="234">
        <v>270.38775200000003</v>
      </c>
      <c r="D293" s="235">
        <v>230.25404321401714</v>
      </c>
      <c r="E293" s="234">
        <f t="shared" si="16"/>
        <v>230.25404321401714</v>
      </c>
      <c r="F293" s="239"/>
      <c r="G293" s="188" t="str">
        <f t="shared" si="17"/>
        <v/>
      </c>
      <c r="H293" s="236" t="str">
        <f t="shared" si="18"/>
        <v/>
      </c>
      <c r="I293" s="237"/>
    </row>
    <row r="294" spans="1:9">
      <c r="A294" s="232">
        <f t="shared" si="19"/>
        <v>292</v>
      </c>
      <c r="B294" s="233">
        <v>45736</v>
      </c>
      <c r="C294" s="234">
        <v>371.90621899999996</v>
      </c>
      <c r="D294" s="235">
        <v>230.25404321401714</v>
      </c>
      <c r="E294" s="234">
        <f t="shared" si="16"/>
        <v>230.25404321401714</v>
      </c>
      <c r="F294" s="239"/>
      <c r="G294" s="188" t="str">
        <f t="shared" si="17"/>
        <v/>
      </c>
      <c r="H294" s="236" t="str">
        <f t="shared" si="18"/>
        <v/>
      </c>
      <c r="I294" s="237"/>
    </row>
    <row r="295" spans="1:9">
      <c r="A295" s="232">
        <f t="shared" si="19"/>
        <v>293</v>
      </c>
      <c r="B295" s="233">
        <v>45737</v>
      </c>
      <c r="C295" s="234">
        <v>347.87098700000001</v>
      </c>
      <c r="D295" s="235">
        <v>230.25404321401714</v>
      </c>
      <c r="E295" s="234">
        <f t="shared" si="16"/>
        <v>230.25404321401714</v>
      </c>
      <c r="F295" s="239"/>
      <c r="G295" s="188" t="str">
        <f t="shared" si="17"/>
        <v/>
      </c>
      <c r="H295" s="236" t="str">
        <f t="shared" si="18"/>
        <v/>
      </c>
      <c r="I295" s="237"/>
    </row>
    <row r="296" spans="1:9">
      <c r="A296" s="232">
        <f t="shared" si="19"/>
        <v>294</v>
      </c>
      <c r="B296" s="233">
        <v>45738</v>
      </c>
      <c r="C296" s="234">
        <v>244.31689699999998</v>
      </c>
      <c r="D296" s="235">
        <v>230.25404321401714</v>
      </c>
      <c r="E296" s="234">
        <f t="shared" si="16"/>
        <v>230.25404321401714</v>
      </c>
      <c r="F296" s="239"/>
      <c r="G296" s="188" t="str">
        <f t="shared" si="17"/>
        <v/>
      </c>
      <c r="H296" s="236" t="str">
        <f t="shared" si="18"/>
        <v/>
      </c>
      <c r="I296" s="237"/>
    </row>
    <row r="297" spans="1:9">
      <c r="A297" s="232">
        <f t="shared" si="19"/>
        <v>295</v>
      </c>
      <c r="B297" s="233">
        <v>45739</v>
      </c>
      <c r="C297" s="234">
        <v>164.86473800000002</v>
      </c>
      <c r="D297" s="235">
        <v>230.25404321401714</v>
      </c>
      <c r="E297" s="234">
        <f t="shared" si="16"/>
        <v>164.86473800000002</v>
      </c>
      <c r="F297" s="239"/>
      <c r="G297" s="188" t="str">
        <f t="shared" si="17"/>
        <v/>
      </c>
      <c r="H297" s="236" t="str">
        <f t="shared" si="18"/>
        <v/>
      </c>
      <c r="I297" s="237"/>
    </row>
    <row r="298" spans="1:9">
      <c r="A298" s="232">
        <f t="shared" si="19"/>
        <v>296</v>
      </c>
      <c r="B298" s="233">
        <v>45740</v>
      </c>
      <c r="C298" s="234">
        <v>161.83111400000001</v>
      </c>
      <c r="D298" s="235">
        <v>230.25404321401714</v>
      </c>
      <c r="E298" s="234">
        <f t="shared" si="16"/>
        <v>161.83111400000001</v>
      </c>
      <c r="F298" s="239"/>
      <c r="G298" s="188" t="str">
        <f t="shared" si="17"/>
        <v/>
      </c>
      <c r="H298" s="236" t="str">
        <f t="shared" si="18"/>
        <v/>
      </c>
      <c r="I298" s="237"/>
    </row>
    <row r="299" spans="1:9">
      <c r="A299" s="232">
        <f t="shared" si="19"/>
        <v>297</v>
      </c>
      <c r="B299" s="233">
        <v>45741</v>
      </c>
      <c r="C299" s="234">
        <v>168.429867</v>
      </c>
      <c r="D299" s="235">
        <v>230.25404321401714</v>
      </c>
      <c r="E299" s="234">
        <f t="shared" si="16"/>
        <v>168.429867</v>
      </c>
      <c r="F299" s="239"/>
      <c r="G299" s="188" t="str">
        <f t="shared" si="17"/>
        <v/>
      </c>
      <c r="H299" s="236" t="str">
        <f t="shared" si="18"/>
        <v/>
      </c>
      <c r="I299" s="237"/>
    </row>
    <row r="300" spans="1:9">
      <c r="A300" s="232">
        <f t="shared" si="19"/>
        <v>298</v>
      </c>
      <c r="B300" s="233">
        <v>45742</v>
      </c>
      <c r="C300" s="234">
        <v>172.45532</v>
      </c>
      <c r="D300" s="235">
        <v>230.25404321401714</v>
      </c>
      <c r="E300" s="234">
        <f t="shared" si="16"/>
        <v>172.45532</v>
      </c>
      <c r="F300" s="239"/>
      <c r="G300" s="188" t="str">
        <f t="shared" si="17"/>
        <v/>
      </c>
      <c r="H300" s="236" t="str">
        <f t="shared" si="18"/>
        <v/>
      </c>
      <c r="I300" s="237"/>
    </row>
    <row r="301" spans="1:9">
      <c r="A301" s="232">
        <f t="shared" si="19"/>
        <v>299</v>
      </c>
      <c r="B301" s="233">
        <v>45743</v>
      </c>
      <c r="C301" s="234">
        <v>159.590024</v>
      </c>
      <c r="D301" s="235">
        <v>230.25404321401714</v>
      </c>
      <c r="E301" s="234">
        <f t="shared" si="16"/>
        <v>159.590024</v>
      </c>
      <c r="F301" s="239"/>
      <c r="G301" s="188" t="str">
        <f t="shared" si="17"/>
        <v/>
      </c>
      <c r="H301" s="236" t="str">
        <f t="shared" si="18"/>
        <v/>
      </c>
      <c r="I301" s="237"/>
    </row>
    <row r="302" spans="1:9">
      <c r="A302" s="232">
        <f t="shared" si="19"/>
        <v>300</v>
      </c>
      <c r="B302" s="233">
        <v>45744</v>
      </c>
      <c r="C302" s="234">
        <v>187.49961100000002</v>
      </c>
      <c r="D302" s="235">
        <v>230.25404321401714</v>
      </c>
      <c r="E302" s="234">
        <f t="shared" si="16"/>
        <v>187.49961100000002</v>
      </c>
      <c r="F302" s="239"/>
      <c r="G302" s="188" t="str">
        <f t="shared" si="17"/>
        <v/>
      </c>
      <c r="H302" s="236" t="str">
        <f t="shared" si="18"/>
        <v/>
      </c>
      <c r="I302" s="237"/>
    </row>
    <row r="303" spans="1:9">
      <c r="A303" s="232">
        <f t="shared" si="19"/>
        <v>301</v>
      </c>
      <c r="B303" s="233">
        <v>45745</v>
      </c>
      <c r="C303" s="234">
        <v>234.15803999999997</v>
      </c>
      <c r="D303" s="235">
        <v>230.25404321401714</v>
      </c>
      <c r="E303" s="234">
        <f t="shared" si="16"/>
        <v>230.25404321401714</v>
      </c>
      <c r="F303" s="239"/>
      <c r="G303" s="188" t="str">
        <f t="shared" si="17"/>
        <v/>
      </c>
      <c r="H303" s="236" t="str">
        <f t="shared" si="18"/>
        <v/>
      </c>
      <c r="I303" s="237"/>
    </row>
    <row r="304" spans="1:9">
      <c r="A304" s="232">
        <f t="shared" si="19"/>
        <v>302</v>
      </c>
      <c r="B304" s="233">
        <v>45746</v>
      </c>
      <c r="C304" s="234">
        <v>170.940212</v>
      </c>
      <c r="D304" s="235">
        <v>230.25404321401714</v>
      </c>
      <c r="E304" s="234">
        <f t="shared" si="16"/>
        <v>170.940212</v>
      </c>
      <c r="F304" s="239"/>
      <c r="G304" s="188" t="str">
        <f t="shared" si="17"/>
        <v/>
      </c>
      <c r="H304" s="236" t="str">
        <f t="shared" si="18"/>
        <v/>
      </c>
      <c r="I304" s="237"/>
    </row>
    <row r="305" spans="1:9">
      <c r="A305" s="232">
        <f t="shared" si="19"/>
        <v>303</v>
      </c>
      <c r="B305" s="233">
        <v>45747</v>
      </c>
      <c r="C305" s="234">
        <v>113.46322000000001</v>
      </c>
      <c r="D305" s="235">
        <v>230.25404321401714</v>
      </c>
      <c r="E305" s="234">
        <f t="shared" si="16"/>
        <v>113.46322000000001</v>
      </c>
      <c r="F305" s="239"/>
      <c r="G305" s="188" t="str">
        <f t="shared" si="17"/>
        <v/>
      </c>
      <c r="H305" s="236" t="str">
        <f t="shared" si="18"/>
        <v/>
      </c>
      <c r="I305" s="237"/>
    </row>
    <row r="306" spans="1:9">
      <c r="A306" s="232">
        <f t="shared" si="19"/>
        <v>304</v>
      </c>
      <c r="B306" s="233">
        <v>45748</v>
      </c>
      <c r="C306" s="234">
        <v>55.310994000000001</v>
      </c>
      <c r="D306" s="235">
        <v>182.8946310465183</v>
      </c>
      <c r="E306" s="234">
        <f t="shared" si="16"/>
        <v>55.310994000000001</v>
      </c>
      <c r="F306" s="239"/>
      <c r="G306" s="188" t="str">
        <f t="shared" si="17"/>
        <v/>
      </c>
      <c r="H306" s="236" t="str">
        <f t="shared" si="18"/>
        <v/>
      </c>
      <c r="I306" s="237"/>
    </row>
    <row r="307" spans="1:9">
      <c r="A307" s="232">
        <f t="shared" si="19"/>
        <v>305</v>
      </c>
      <c r="B307" s="233">
        <v>45749</v>
      </c>
      <c r="C307" s="234">
        <v>159.42946800000001</v>
      </c>
      <c r="D307" s="235">
        <v>182.8946310465183</v>
      </c>
      <c r="E307" s="234">
        <f t="shared" si="16"/>
        <v>159.42946800000001</v>
      </c>
      <c r="F307" s="239"/>
      <c r="G307" s="188" t="str">
        <f t="shared" si="17"/>
        <v/>
      </c>
      <c r="H307" s="236" t="str">
        <f t="shared" si="18"/>
        <v/>
      </c>
      <c r="I307" s="237"/>
    </row>
    <row r="308" spans="1:9">
      <c r="A308" s="232">
        <f t="shared" si="19"/>
        <v>306</v>
      </c>
      <c r="B308" s="233">
        <v>45750</v>
      </c>
      <c r="C308" s="234">
        <v>240.342296</v>
      </c>
      <c r="D308" s="235">
        <v>182.8946310465183</v>
      </c>
      <c r="E308" s="234">
        <f t="shared" si="16"/>
        <v>182.8946310465183</v>
      </c>
      <c r="F308" s="237"/>
      <c r="G308" s="188" t="str">
        <f t="shared" si="17"/>
        <v/>
      </c>
      <c r="H308" s="236" t="str">
        <f t="shared" si="18"/>
        <v/>
      </c>
      <c r="I308" s="237"/>
    </row>
    <row r="309" spans="1:9">
      <c r="A309" s="232">
        <f t="shared" si="19"/>
        <v>307</v>
      </c>
      <c r="B309" s="233">
        <v>45751</v>
      </c>
      <c r="C309" s="234">
        <v>250.53855200000001</v>
      </c>
      <c r="D309" s="235">
        <v>182.8946310465183</v>
      </c>
      <c r="E309" s="234">
        <f t="shared" si="16"/>
        <v>182.8946310465183</v>
      </c>
      <c r="F309" s="239"/>
      <c r="G309" s="188" t="str">
        <f t="shared" si="17"/>
        <v/>
      </c>
      <c r="H309" s="236" t="str">
        <f t="shared" si="18"/>
        <v/>
      </c>
      <c r="I309" s="237"/>
    </row>
    <row r="310" spans="1:9">
      <c r="A310" s="232">
        <f t="shared" si="19"/>
        <v>308</v>
      </c>
      <c r="B310" s="233">
        <v>45752</v>
      </c>
      <c r="C310" s="234">
        <v>142.38233300000002</v>
      </c>
      <c r="D310" s="235">
        <v>182.8946310465183</v>
      </c>
      <c r="E310" s="234">
        <f t="shared" si="16"/>
        <v>142.38233300000002</v>
      </c>
      <c r="F310" s="239"/>
      <c r="G310" s="188" t="str">
        <f t="shared" si="17"/>
        <v/>
      </c>
      <c r="H310" s="236" t="str">
        <f t="shared" si="18"/>
        <v/>
      </c>
      <c r="I310" s="237"/>
    </row>
    <row r="311" spans="1:9">
      <c r="A311" s="232">
        <f t="shared" si="19"/>
        <v>309</v>
      </c>
      <c r="B311" s="233">
        <v>45753</v>
      </c>
      <c r="C311" s="234">
        <v>92.033123000000003</v>
      </c>
      <c r="D311" s="235">
        <v>182.8946310465183</v>
      </c>
      <c r="E311" s="234">
        <f t="shared" si="16"/>
        <v>92.033123000000003</v>
      </c>
      <c r="F311" s="239"/>
      <c r="G311" s="188" t="str">
        <f t="shared" si="17"/>
        <v/>
      </c>
      <c r="H311" s="236" t="str">
        <f t="shared" si="18"/>
        <v/>
      </c>
      <c r="I311" s="237"/>
    </row>
    <row r="312" spans="1:9">
      <c r="A312" s="232">
        <f t="shared" si="19"/>
        <v>310</v>
      </c>
      <c r="B312" s="233">
        <v>45754</v>
      </c>
      <c r="C312" s="234">
        <v>65.263696999999993</v>
      </c>
      <c r="D312" s="235">
        <v>182.8946310465183</v>
      </c>
      <c r="E312" s="234">
        <f t="shared" si="16"/>
        <v>65.263696999999993</v>
      </c>
      <c r="F312" s="239"/>
      <c r="G312" s="188" t="str">
        <f t="shared" si="17"/>
        <v/>
      </c>
      <c r="H312" s="236" t="str">
        <f t="shared" si="18"/>
        <v/>
      </c>
      <c r="I312" s="237"/>
    </row>
    <row r="313" spans="1:9">
      <c r="A313" s="232">
        <f t="shared" si="19"/>
        <v>311</v>
      </c>
      <c r="B313" s="233">
        <v>45755</v>
      </c>
      <c r="C313" s="234">
        <v>67.720842000000005</v>
      </c>
      <c r="D313" s="235">
        <v>182.8946310465183</v>
      </c>
      <c r="E313" s="234">
        <f t="shared" si="16"/>
        <v>67.720842000000005</v>
      </c>
      <c r="F313" s="239"/>
      <c r="G313" s="188" t="str">
        <f t="shared" si="17"/>
        <v/>
      </c>
      <c r="H313" s="236" t="str">
        <f t="shared" si="18"/>
        <v/>
      </c>
      <c r="I313" s="237"/>
    </row>
    <row r="314" spans="1:9">
      <c r="A314" s="232">
        <f t="shared" si="19"/>
        <v>312</v>
      </c>
      <c r="B314" s="233">
        <v>45756</v>
      </c>
      <c r="C314" s="234">
        <v>90.567506000000009</v>
      </c>
      <c r="D314" s="235">
        <v>182.8946310465183</v>
      </c>
      <c r="E314" s="234">
        <f t="shared" si="16"/>
        <v>90.567506000000009</v>
      </c>
      <c r="F314" s="239"/>
      <c r="G314" s="188" t="str">
        <f t="shared" si="17"/>
        <v/>
      </c>
      <c r="H314" s="236" t="str">
        <f t="shared" si="18"/>
        <v/>
      </c>
      <c r="I314" s="237"/>
    </row>
    <row r="315" spans="1:9">
      <c r="A315" s="232">
        <f t="shared" si="19"/>
        <v>313</v>
      </c>
      <c r="B315" s="233">
        <v>45757</v>
      </c>
      <c r="C315" s="234">
        <v>182.138599</v>
      </c>
      <c r="D315" s="235">
        <v>182.8946310465183</v>
      </c>
      <c r="E315" s="234">
        <f t="shared" si="16"/>
        <v>182.138599</v>
      </c>
      <c r="F315" s="239"/>
      <c r="G315" s="188" t="str">
        <f t="shared" si="17"/>
        <v/>
      </c>
      <c r="H315" s="236" t="str">
        <f t="shared" si="18"/>
        <v/>
      </c>
      <c r="I315" s="237"/>
    </row>
    <row r="316" spans="1:9">
      <c r="A316" s="232">
        <f t="shared" si="19"/>
        <v>314</v>
      </c>
      <c r="B316" s="233">
        <v>45758</v>
      </c>
      <c r="C316" s="234">
        <v>208.03713300000001</v>
      </c>
      <c r="D316" s="235">
        <v>182.8946310465183</v>
      </c>
      <c r="E316" s="234">
        <f t="shared" si="16"/>
        <v>182.8946310465183</v>
      </c>
      <c r="F316" s="239"/>
      <c r="G316" s="188" t="str">
        <f t="shared" si="17"/>
        <v/>
      </c>
      <c r="H316" s="236" t="str">
        <f t="shared" si="18"/>
        <v/>
      </c>
      <c r="I316" s="237"/>
    </row>
    <row r="317" spans="1:9">
      <c r="A317" s="232">
        <f t="shared" si="19"/>
        <v>315</v>
      </c>
      <c r="B317" s="233">
        <v>45759</v>
      </c>
      <c r="C317" s="234">
        <v>92.423380999999992</v>
      </c>
      <c r="D317" s="235">
        <v>182.8946310465183</v>
      </c>
      <c r="E317" s="234">
        <f t="shared" si="16"/>
        <v>92.423380999999992</v>
      </c>
      <c r="F317" s="239"/>
      <c r="G317" s="188" t="str">
        <f t="shared" si="17"/>
        <v/>
      </c>
      <c r="H317" s="236" t="str">
        <f t="shared" si="18"/>
        <v/>
      </c>
      <c r="I317" s="237"/>
    </row>
    <row r="318" spans="1:9">
      <c r="A318" s="232">
        <f t="shared" si="19"/>
        <v>316</v>
      </c>
      <c r="B318" s="233">
        <v>45760</v>
      </c>
      <c r="C318" s="234">
        <v>46.441901999999999</v>
      </c>
      <c r="D318" s="235">
        <v>182.8946310465183</v>
      </c>
      <c r="E318" s="234">
        <f t="shared" si="16"/>
        <v>46.441901999999999</v>
      </c>
      <c r="F318" s="239"/>
      <c r="G318" s="188" t="str">
        <f t="shared" si="17"/>
        <v/>
      </c>
      <c r="H318" s="236" t="str">
        <f t="shared" si="18"/>
        <v/>
      </c>
      <c r="I318" s="237"/>
    </row>
    <row r="319" spans="1:9">
      <c r="A319" s="232">
        <f t="shared" si="19"/>
        <v>317</v>
      </c>
      <c r="B319" s="233">
        <v>45761</v>
      </c>
      <c r="C319" s="234">
        <v>168.73453000000001</v>
      </c>
      <c r="D319" s="235">
        <v>182.8946310465183</v>
      </c>
      <c r="E319" s="234">
        <f t="shared" si="16"/>
        <v>168.73453000000001</v>
      </c>
      <c r="F319" s="239"/>
      <c r="G319" s="188" t="str">
        <f t="shared" si="17"/>
        <v/>
      </c>
      <c r="H319" s="236" t="str">
        <f t="shared" si="18"/>
        <v/>
      </c>
      <c r="I319" s="237"/>
    </row>
    <row r="320" spans="1:9">
      <c r="A320" s="232">
        <f t="shared" si="19"/>
        <v>318</v>
      </c>
      <c r="B320" s="233">
        <v>45762</v>
      </c>
      <c r="C320" s="234">
        <v>232.63372899999999</v>
      </c>
      <c r="D320" s="235">
        <v>182.8946310465183</v>
      </c>
      <c r="E320" s="234">
        <f t="shared" si="16"/>
        <v>182.8946310465183</v>
      </c>
      <c r="F320" s="239"/>
      <c r="G320" s="188" t="str">
        <f t="shared" si="17"/>
        <v>A</v>
      </c>
      <c r="H320" s="236" t="str">
        <f t="shared" si="18"/>
        <v>182,9</v>
      </c>
      <c r="I320" s="237"/>
    </row>
    <row r="321" spans="1:9">
      <c r="A321" s="232">
        <f t="shared" si="19"/>
        <v>319</v>
      </c>
      <c r="B321" s="233">
        <v>45763</v>
      </c>
      <c r="C321" s="234">
        <v>263.37546300000002</v>
      </c>
      <c r="D321" s="235">
        <v>182.8946310465183</v>
      </c>
      <c r="E321" s="234">
        <f t="shared" si="16"/>
        <v>182.8946310465183</v>
      </c>
      <c r="F321" s="239"/>
      <c r="G321" s="188" t="str">
        <f t="shared" si="17"/>
        <v/>
      </c>
      <c r="H321" s="236" t="str">
        <f t="shared" si="18"/>
        <v/>
      </c>
      <c r="I321" s="237"/>
    </row>
    <row r="322" spans="1:9">
      <c r="A322" s="232">
        <f t="shared" si="19"/>
        <v>320</v>
      </c>
      <c r="B322" s="233">
        <v>45764</v>
      </c>
      <c r="C322" s="234">
        <v>204.78054999999998</v>
      </c>
      <c r="D322" s="235">
        <v>182.8946310465183</v>
      </c>
      <c r="E322" s="234">
        <f t="shared" si="16"/>
        <v>182.8946310465183</v>
      </c>
      <c r="F322" s="237"/>
      <c r="G322" s="188" t="str">
        <f t="shared" si="17"/>
        <v/>
      </c>
      <c r="H322" s="236" t="str">
        <f t="shared" si="18"/>
        <v/>
      </c>
      <c r="I322" s="237"/>
    </row>
    <row r="323" spans="1:9">
      <c r="A323" s="232">
        <f t="shared" si="19"/>
        <v>321</v>
      </c>
      <c r="B323" s="233">
        <v>45765</v>
      </c>
      <c r="C323" s="234">
        <v>178.67427699999999</v>
      </c>
      <c r="D323" s="235">
        <v>182.8946310465183</v>
      </c>
      <c r="E323" s="234">
        <f t="shared" ref="E323:E381" si="20">IF(C323&gt;D323,D323,C323)</f>
        <v>178.67427699999999</v>
      </c>
      <c r="F323" s="239"/>
      <c r="G323" s="188" t="str">
        <f t="shared" ref="G323:G386" si="21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36" t="str">
        <f t="shared" ref="H323:H386" si="22">IF(DAY($B323)=15,TEXT(D323,"#,0"),"")</f>
        <v/>
      </c>
      <c r="I323" s="237"/>
    </row>
    <row r="324" spans="1:9">
      <c r="A324" s="232">
        <f t="shared" ref="A324:A387" si="23">+A323+1</f>
        <v>322</v>
      </c>
      <c r="B324" s="233">
        <v>45766</v>
      </c>
      <c r="C324" s="234">
        <v>227.773515</v>
      </c>
      <c r="D324" s="235">
        <v>182.8946310465183</v>
      </c>
      <c r="E324" s="234">
        <f t="shared" si="20"/>
        <v>182.8946310465183</v>
      </c>
      <c r="F324" s="239"/>
      <c r="G324" s="188" t="str">
        <f t="shared" si="21"/>
        <v/>
      </c>
      <c r="H324" s="236" t="str">
        <f t="shared" si="22"/>
        <v/>
      </c>
      <c r="I324" s="237"/>
    </row>
    <row r="325" spans="1:9">
      <c r="A325" s="232">
        <f t="shared" si="23"/>
        <v>323</v>
      </c>
      <c r="B325" s="233">
        <v>45767</v>
      </c>
      <c r="C325" s="234">
        <v>131.45716000000002</v>
      </c>
      <c r="D325" s="235">
        <v>182.8946310465183</v>
      </c>
      <c r="E325" s="234">
        <f t="shared" si="20"/>
        <v>131.45716000000002</v>
      </c>
      <c r="F325" s="239"/>
      <c r="G325" s="188" t="str">
        <f t="shared" si="21"/>
        <v/>
      </c>
      <c r="H325" s="236" t="str">
        <f t="shared" si="22"/>
        <v/>
      </c>
      <c r="I325" s="237"/>
    </row>
    <row r="326" spans="1:9">
      <c r="A326" s="232">
        <f t="shared" si="23"/>
        <v>324</v>
      </c>
      <c r="B326" s="233">
        <v>45768</v>
      </c>
      <c r="C326" s="234">
        <v>72.177299000000005</v>
      </c>
      <c r="D326" s="235">
        <v>182.8946310465183</v>
      </c>
      <c r="E326" s="234">
        <f t="shared" si="20"/>
        <v>72.177299000000005</v>
      </c>
      <c r="F326" s="239"/>
      <c r="G326" s="188" t="str">
        <f t="shared" si="21"/>
        <v/>
      </c>
      <c r="H326" s="236" t="str">
        <f t="shared" si="22"/>
        <v/>
      </c>
      <c r="I326" s="237"/>
    </row>
    <row r="327" spans="1:9">
      <c r="A327" s="232">
        <f t="shared" si="23"/>
        <v>325</v>
      </c>
      <c r="B327" s="233">
        <v>45769</v>
      </c>
      <c r="C327" s="234">
        <v>102.49695699999999</v>
      </c>
      <c r="D327" s="235">
        <v>182.8946310465183</v>
      </c>
      <c r="E327" s="234">
        <f t="shared" si="20"/>
        <v>102.49695699999999</v>
      </c>
      <c r="F327" s="239"/>
      <c r="G327" s="188" t="str">
        <f t="shared" si="21"/>
        <v/>
      </c>
      <c r="H327" s="236" t="str">
        <f t="shared" si="22"/>
        <v/>
      </c>
      <c r="I327" s="237"/>
    </row>
    <row r="328" spans="1:9">
      <c r="A328" s="232">
        <f t="shared" si="23"/>
        <v>326</v>
      </c>
      <c r="B328" s="233">
        <v>45770</v>
      </c>
      <c r="C328" s="234">
        <v>110.06331200000001</v>
      </c>
      <c r="D328" s="235">
        <v>182.8946310465183</v>
      </c>
      <c r="E328" s="234">
        <f t="shared" si="20"/>
        <v>110.06331200000001</v>
      </c>
      <c r="F328" s="239"/>
      <c r="G328" s="188" t="str">
        <f t="shared" si="21"/>
        <v/>
      </c>
      <c r="H328" s="236" t="str">
        <f t="shared" si="22"/>
        <v/>
      </c>
      <c r="I328" s="237"/>
    </row>
    <row r="329" spans="1:9">
      <c r="A329" s="232">
        <f t="shared" si="23"/>
        <v>327</v>
      </c>
      <c r="B329" s="233">
        <v>45771</v>
      </c>
      <c r="C329" s="234">
        <v>114.529554</v>
      </c>
      <c r="D329" s="235">
        <v>182.8946310465183</v>
      </c>
      <c r="E329" s="234">
        <f t="shared" si="20"/>
        <v>114.529554</v>
      </c>
      <c r="F329" s="239"/>
      <c r="G329" s="188" t="str">
        <f t="shared" si="21"/>
        <v/>
      </c>
      <c r="H329" s="236" t="str">
        <f t="shared" si="22"/>
        <v/>
      </c>
      <c r="I329" s="237"/>
    </row>
    <row r="330" spans="1:9">
      <c r="A330" s="232">
        <f t="shared" si="23"/>
        <v>328</v>
      </c>
      <c r="B330" s="233">
        <v>45772</v>
      </c>
      <c r="C330" s="234">
        <v>77.589011999999983</v>
      </c>
      <c r="D330" s="235">
        <v>182.8946310465183</v>
      </c>
      <c r="E330" s="234">
        <f t="shared" si="20"/>
        <v>77.589011999999983</v>
      </c>
      <c r="F330" s="239"/>
      <c r="G330" s="188" t="str">
        <f t="shared" si="21"/>
        <v/>
      </c>
      <c r="H330" s="236" t="str">
        <f t="shared" si="22"/>
        <v/>
      </c>
      <c r="I330" s="237"/>
    </row>
    <row r="331" spans="1:9">
      <c r="A331" s="232">
        <f t="shared" si="23"/>
        <v>329</v>
      </c>
      <c r="B331" s="233">
        <v>45773</v>
      </c>
      <c r="C331" s="234">
        <v>184.18373500000001</v>
      </c>
      <c r="D331" s="235">
        <v>182.8946310465183</v>
      </c>
      <c r="E331" s="234">
        <f t="shared" si="20"/>
        <v>182.8946310465183</v>
      </c>
      <c r="F331" s="239"/>
      <c r="G331" s="188" t="str">
        <f t="shared" si="21"/>
        <v/>
      </c>
      <c r="H331" s="236" t="str">
        <f t="shared" si="22"/>
        <v/>
      </c>
      <c r="I331" s="237"/>
    </row>
    <row r="332" spans="1:9">
      <c r="A332" s="232">
        <f t="shared" si="23"/>
        <v>330</v>
      </c>
      <c r="B332" s="233">
        <v>45774</v>
      </c>
      <c r="C332" s="234">
        <v>131.14623699999999</v>
      </c>
      <c r="D332" s="235">
        <v>182.8946310465183</v>
      </c>
      <c r="E332" s="234">
        <f t="shared" si="20"/>
        <v>131.14623699999999</v>
      </c>
      <c r="F332" s="239"/>
      <c r="G332" s="188" t="str">
        <f t="shared" si="21"/>
        <v/>
      </c>
      <c r="H332" s="236" t="str">
        <f t="shared" si="22"/>
        <v/>
      </c>
      <c r="I332" s="237"/>
    </row>
    <row r="333" spans="1:9">
      <c r="A333" s="232">
        <f t="shared" si="23"/>
        <v>331</v>
      </c>
      <c r="B333" s="233">
        <v>45775</v>
      </c>
      <c r="C333" s="234">
        <v>58.302416000000008</v>
      </c>
      <c r="D333" s="235">
        <v>182.8946310465183</v>
      </c>
      <c r="E333" s="234">
        <f t="shared" si="20"/>
        <v>58.302416000000008</v>
      </c>
      <c r="F333" s="239"/>
      <c r="G333" s="188" t="str">
        <f t="shared" si="21"/>
        <v/>
      </c>
      <c r="H333" s="236" t="str">
        <f t="shared" si="22"/>
        <v/>
      </c>
      <c r="I333" s="237"/>
    </row>
    <row r="334" spans="1:9">
      <c r="A334" s="232">
        <f t="shared" si="23"/>
        <v>332</v>
      </c>
      <c r="B334" s="233">
        <v>45776</v>
      </c>
      <c r="C334" s="234">
        <v>89.671123999999992</v>
      </c>
      <c r="D334" s="235">
        <v>182.8946310465183</v>
      </c>
      <c r="E334" s="234">
        <f t="shared" si="20"/>
        <v>89.671123999999992</v>
      </c>
      <c r="F334" s="239"/>
      <c r="G334" s="188" t="str">
        <f t="shared" si="21"/>
        <v/>
      </c>
      <c r="H334" s="236" t="str">
        <f t="shared" si="22"/>
        <v/>
      </c>
      <c r="I334" s="237"/>
    </row>
    <row r="335" spans="1:9">
      <c r="A335" s="232">
        <f t="shared" si="23"/>
        <v>333</v>
      </c>
      <c r="B335" s="233">
        <v>45777</v>
      </c>
      <c r="C335" s="234">
        <v>223.78987499999999</v>
      </c>
      <c r="D335" s="235">
        <v>182.8946310465183</v>
      </c>
      <c r="E335" s="234">
        <f>IF(C335&gt;D335,D335,C335)</f>
        <v>182.8946310465183</v>
      </c>
      <c r="F335" s="239"/>
      <c r="G335" s="188" t="str">
        <f t="shared" si="21"/>
        <v/>
      </c>
      <c r="H335" s="236" t="str">
        <f t="shared" si="22"/>
        <v/>
      </c>
      <c r="I335" s="237"/>
    </row>
    <row r="336" spans="1:9">
      <c r="A336" s="232">
        <f t="shared" si="23"/>
        <v>334</v>
      </c>
      <c r="B336" s="233">
        <v>45778</v>
      </c>
      <c r="C336" s="234">
        <v>130.73729700000001</v>
      </c>
      <c r="D336" s="235">
        <v>169.33205925204089</v>
      </c>
      <c r="E336" s="234">
        <f t="shared" si="20"/>
        <v>130.73729700000001</v>
      </c>
      <c r="F336" s="237"/>
      <c r="G336" s="188" t="str">
        <f t="shared" si="21"/>
        <v/>
      </c>
      <c r="H336" s="236" t="str">
        <f t="shared" si="22"/>
        <v/>
      </c>
      <c r="I336" s="237"/>
    </row>
    <row r="337" spans="1:9">
      <c r="A337" s="232">
        <f t="shared" si="23"/>
        <v>335</v>
      </c>
      <c r="B337" s="233">
        <v>45779</v>
      </c>
      <c r="C337" s="234">
        <v>181.60779400000001</v>
      </c>
      <c r="D337" s="235">
        <v>169.33205925204089</v>
      </c>
      <c r="E337" s="234">
        <f t="shared" si="20"/>
        <v>169.33205925204089</v>
      </c>
      <c r="F337" s="237"/>
      <c r="G337" s="188" t="str">
        <f t="shared" si="21"/>
        <v/>
      </c>
      <c r="H337" s="236" t="str">
        <f t="shared" si="22"/>
        <v/>
      </c>
      <c r="I337" s="237"/>
    </row>
    <row r="338" spans="1:9">
      <c r="A338" s="232">
        <f t="shared" si="23"/>
        <v>336</v>
      </c>
      <c r="B338" s="233">
        <v>45780</v>
      </c>
      <c r="C338" s="234">
        <v>89.421211999999997</v>
      </c>
      <c r="D338" s="235">
        <v>169.33205925204089</v>
      </c>
      <c r="E338" s="234">
        <f t="shared" si="20"/>
        <v>89.421211999999997</v>
      </c>
      <c r="F338" s="239"/>
      <c r="G338" s="188" t="str">
        <f t="shared" si="21"/>
        <v/>
      </c>
      <c r="H338" s="236" t="str">
        <f t="shared" si="22"/>
        <v/>
      </c>
      <c r="I338" s="237"/>
    </row>
    <row r="339" spans="1:9">
      <c r="A339" s="232">
        <f t="shared" si="23"/>
        <v>337</v>
      </c>
      <c r="B339" s="233">
        <v>45781</v>
      </c>
      <c r="C339" s="234">
        <v>112.899416</v>
      </c>
      <c r="D339" s="235">
        <v>169.33205925204089</v>
      </c>
      <c r="E339" s="234">
        <f t="shared" si="20"/>
        <v>112.899416</v>
      </c>
      <c r="F339" s="239"/>
      <c r="G339" s="188" t="str">
        <f t="shared" si="21"/>
        <v/>
      </c>
      <c r="H339" s="236" t="str">
        <f t="shared" si="22"/>
        <v/>
      </c>
      <c r="I339" s="237"/>
    </row>
    <row r="340" spans="1:9">
      <c r="A340" s="232">
        <f t="shared" si="23"/>
        <v>338</v>
      </c>
      <c r="B340" s="233">
        <v>45782</v>
      </c>
      <c r="C340" s="234">
        <v>219.58313100000004</v>
      </c>
      <c r="D340" s="235">
        <v>169.33205925204089</v>
      </c>
      <c r="E340" s="234">
        <f t="shared" si="20"/>
        <v>169.33205925204089</v>
      </c>
      <c r="F340" s="239"/>
      <c r="G340" s="188" t="str">
        <f t="shared" si="21"/>
        <v/>
      </c>
      <c r="H340" s="236" t="str">
        <f t="shared" si="22"/>
        <v/>
      </c>
      <c r="I340" s="237"/>
    </row>
    <row r="341" spans="1:9">
      <c r="A341" s="232">
        <f t="shared" si="23"/>
        <v>339</v>
      </c>
      <c r="B341" s="233">
        <v>45783</v>
      </c>
      <c r="C341" s="234">
        <v>176.61624499999999</v>
      </c>
      <c r="D341" s="235">
        <v>169.33205925204089</v>
      </c>
      <c r="E341" s="234">
        <f t="shared" si="20"/>
        <v>169.33205925204089</v>
      </c>
      <c r="F341" s="239"/>
      <c r="G341" s="188" t="str">
        <f t="shared" si="21"/>
        <v/>
      </c>
      <c r="H341" s="236" t="str">
        <f t="shared" si="22"/>
        <v/>
      </c>
      <c r="I341" s="237"/>
    </row>
    <row r="342" spans="1:9">
      <c r="A342" s="232">
        <f t="shared" si="23"/>
        <v>340</v>
      </c>
      <c r="B342" s="233">
        <v>45784</v>
      </c>
      <c r="C342" s="234">
        <v>103.20984899999999</v>
      </c>
      <c r="D342" s="235">
        <v>169.33205925204089</v>
      </c>
      <c r="E342" s="234">
        <f t="shared" si="20"/>
        <v>103.20984899999999</v>
      </c>
      <c r="F342" s="239"/>
      <c r="G342" s="188" t="str">
        <f t="shared" si="21"/>
        <v/>
      </c>
      <c r="H342" s="236" t="str">
        <f t="shared" si="22"/>
        <v/>
      </c>
      <c r="I342" s="237"/>
    </row>
    <row r="343" spans="1:9">
      <c r="A343" s="232">
        <f t="shared" si="23"/>
        <v>341</v>
      </c>
      <c r="B343" s="233">
        <v>45785</v>
      </c>
      <c r="C343" s="234">
        <v>73.222005999999993</v>
      </c>
      <c r="D343" s="235">
        <v>169.33205925204089</v>
      </c>
      <c r="E343" s="234">
        <f t="shared" si="20"/>
        <v>73.222005999999993</v>
      </c>
      <c r="F343" s="239"/>
      <c r="G343" s="188" t="str">
        <f t="shared" si="21"/>
        <v/>
      </c>
      <c r="H343" s="236" t="str">
        <f t="shared" si="22"/>
        <v/>
      </c>
      <c r="I343" s="237"/>
    </row>
    <row r="344" spans="1:9">
      <c r="A344" s="232">
        <f t="shared" si="23"/>
        <v>342</v>
      </c>
      <c r="B344" s="233">
        <v>45786</v>
      </c>
      <c r="C344" s="234">
        <v>65.937542000000008</v>
      </c>
      <c r="D344" s="235">
        <v>169.33205925204089</v>
      </c>
      <c r="E344" s="234">
        <f t="shared" si="20"/>
        <v>65.937542000000008</v>
      </c>
      <c r="F344" s="239"/>
      <c r="G344" s="188" t="str">
        <f t="shared" si="21"/>
        <v/>
      </c>
      <c r="H344" s="236" t="str">
        <f t="shared" si="22"/>
        <v/>
      </c>
      <c r="I344" s="237"/>
    </row>
    <row r="345" spans="1:9">
      <c r="A345" s="232">
        <f t="shared" si="23"/>
        <v>343</v>
      </c>
      <c r="B345" s="233">
        <v>45787</v>
      </c>
      <c r="C345" s="234">
        <v>101.71455800000001</v>
      </c>
      <c r="D345" s="235">
        <v>169.33205925204089</v>
      </c>
      <c r="E345" s="234">
        <f t="shared" si="20"/>
        <v>101.71455800000001</v>
      </c>
      <c r="F345" s="239"/>
      <c r="G345" s="188" t="str">
        <f t="shared" si="21"/>
        <v/>
      </c>
      <c r="H345" s="236" t="str">
        <f t="shared" si="22"/>
        <v/>
      </c>
      <c r="I345" s="237"/>
    </row>
    <row r="346" spans="1:9">
      <c r="A346" s="232">
        <f t="shared" si="23"/>
        <v>344</v>
      </c>
      <c r="B346" s="233">
        <v>45788</v>
      </c>
      <c r="C346" s="234">
        <v>84.707972999999996</v>
      </c>
      <c r="D346" s="235">
        <v>169.33205925204089</v>
      </c>
      <c r="E346" s="234">
        <f t="shared" si="20"/>
        <v>84.707972999999996</v>
      </c>
      <c r="F346" s="239"/>
      <c r="G346" s="188" t="str">
        <f t="shared" si="21"/>
        <v/>
      </c>
      <c r="H346" s="236" t="str">
        <f t="shared" si="22"/>
        <v/>
      </c>
      <c r="I346" s="237"/>
    </row>
    <row r="347" spans="1:9">
      <c r="A347" s="232">
        <f t="shared" si="23"/>
        <v>345</v>
      </c>
      <c r="B347" s="233">
        <v>45789</v>
      </c>
      <c r="C347" s="234">
        <v>77.854702000000003</v>
      </c>
      <c r="D347" s="235">
        <v>169.33205925204089</v>
      </c>
      <c r="E347" s="234">
        <f t="shared" si="20"/>
        <v>77.854702000000003</v>
      </c>
      <c r="F347" s="239"/>
      <c r="G347" s="188" t="str">
        <f t="shared" si="21"/>
        <v/>
      </c>
      <c r="H347" s="236" t="str">
        <f t="shared" si="22"/>
        <v/>
      </c>
      <c r="I347" s="237"/>
    </row>
    <row r="348" spans="1:9">
      <c r="A348" s="232">
        <f t="shared" si="23"/>
        <v>346</v>
      </c>
      <c r="B348" s="233">
        <v>45790</v>
      </c>
      <c r="C348" s="234">
        <v>45.845879000000004</v>
      </c>
      <c r="D348" s="235">
        <v>169.33205925204089</v>
      </c>
      <c r="E348" s="234">
        <f t="shared" si="20"/>
        <v>45.845879000000004</v>
      </c>
      <c r="F348" s="239"/>
      <c r="G348" s="188" t="str">
        <f t="shared" si="21"/>
        <v/>
      </c>
      <c r="H348" s="236" t="str">
        <f t="shared" si="22"/>
        <v/>
      </c>
      <c r="I348" s="237"/>
    </row>
    <row r="349" spans="1:9">
      <c r="A349" s="232">
        <f t="shared" si="23"/>
        <v>347</v>
      </c>
      <c r="B349" s="233">
        <v>45791</v>
      </c>
      <c r="C349" s="234">
        <v>50.527019000000003</v>
      </c>
      <c r="D349" s="235">
        <v>169.33205925204089</v>
      </c>
      <c r="E349" s="234">
        <f t="shared" si="20"/>
        <v>50.527019000000003</v>
      </c>
      <c r="F349" s="239"/>
      <c r="G349" s="188" t="str">
        <f t="shared" si="21"/>
        <v/>
      </c>
      <c r="H349" s="236" t="str">
        <f t="shared" si="22"/>
        <v/>
      </c>
      <c r="I349" s="237"/>
    </row>
    <row r="350" spans="1:9">
      <c r="A350" s="232">
        <f t="shared" si="23"/>
        <v>348</v>
      </c>
      <c r="B350" s="233">
        <v>45792</v>
      </c>
      <c r="C350" s="234">
        <v>132.655484</v>
      </c>
      <c r="D350" s="235">
        <v>169.33205925204089</v>
      </c>
      <c r="E350" s="234">
        <f t="shared" si="20"/>
        <v>132.655484</v>
      </c>
      <c r="F350" s="239"/>
      <c r="G350" s="188" t="str">
        <f t="shared" si="21"/>
        <v>M</v>
      </c>
      <c r="H350" s="236" t="str">
        <f t="shared" si="22"/>
        <v>169,3</v>
      </c>
      <c r="I350" s="237"/>
    </row>
    <row r="351" spans="1:9">
      <c r="A351" s="232">
        <f t="shared" si="23"/>
        <v>349</v>
      </c>
      <c r="B351" s="233">
        <v>45793</v>
      </c>
      <c r="C351" s="234">
        <v>157.66755800000001</v>
      </c>
      <c r="D351" s="235">
        <v>169.33205925204089</v>
      </c>
      <c r="E351" s="234">
        <f t="shared" si="20"/>
        <v>157.66755800000001</v>
      </c>
      <c r="F351" s="237"/>
      <c r="G351" s="188" t="str">
        <f t="shared" si="21"/>
        <v/>
      </c>
      <c r="H351" s="236" t="str">
        <f t="shared" si="22"/>
        <v/>
      </c>
      <c r="I351" s="237"/>
    </row>
    <row r="352" spans="1:9">
      <c r="A352" s="232">
        <f t="shared" si="23"/>
        <v>350</v>
      </c>
      <c r="B352" s="233">
        <v>45794</v>
      </c>
      <c r="C352" s="234">
        <v>60.002699</v>
      </c>
      <c r="D352" s="235">
        <v>169.33205925204089</v>
      </c>
      <c r="E352" s="234">
        <f t="shared" si="20"/>
        <v>60.002699</v>
      </c>
      <c r="F352" s="239"/>
      <c r="G352" s="188" t="str">
        <f t="shared" si="21"/>
        <v/>
      </c>
      <c r="H352" s="236" t="str">
        <f t="shared" si="22"/>
        <v/>
      </c>
      <c r="I352" s="237"/>
    </row>
    <row r="353" spans="1:9">
      <c r="A353" s="232">
        <f t="shared" si="23"/>
        <v>351</v>
      </c>
      <c r="B353" s="233">
        <v>45795</v>
      </c>
      <c r="C353" s="234">
        <v>88.425532000000004</v>
      </c>
      <c r="D353" s="235">
        <v>169.33205925204089</v>
      </c>
      <c r="E353" s="234">
        <f t="shared" si="20"/>
        <v>88.425532000000004</v>
      </c>
      <c r="F353" s="239"/>
      <c r="G353" s="188" t="str">
        <f t="shared" si="21"/>
        <v/>
      </c>
      <c r="H353" s="236" t="str">
        <f t="shared" si="22"/>
        <v/>
      </c>
      <c r="I353" s="237"/>
    </row>
    <row r="354" spans="1:9">
      <c r="A354" s="232">
        <f t="shared" si="23"/>
        <v>352</v>
      </c>
      <c r="B354" s="233">
        <v>45796</v>
      </c>
      <c r="C354" s="234">
        <v>139.35441100000003</v>
      </c>
      <c r="D354" s="235">
        <v>169.33205925204089</v>
      </c>
      <c r="E354" s="234">
        <f t="shared" si="20"/>
        <v>139.35441100000003</v>
      </c>
      <c r="F354" s="239"/>
      <c r="G354" s="188" t="str">
        <f t="shared" si="21"/>
        <v/>
      </c>
      <c r="H354" s="236" t="str">
        <f t="shared" si="22"/>
        <v/>
      </c>
      <c r="I354" s="237"/>
    </row>
    <row r="355" spans="1:9">
      <c r="A355" s="232">
        <f t="shared" si="23"/>
        <v>353</v>
      </c>
      <c r="B355" s="233">
        <v>45797</v>
      </c>
      <c r="C355" s="234">
        <v>137.66535000000002</v>
      </c>
      <c r="D355" s="235">
        <v>169.33205925204089</v>
      </c>
      <c r="E355" s="234">
        <f t="shared" si="20"/>
        <v>137.66535000000002</v>
      </c>
      <c r="F355" s="239"/>
      <c r="G355" s="188" t="str">
        <f t="shared" si="21"/>
        <v/>
      </c>
      <c r="H355" s="236" t="str">
        <f t="shared" si="22"/>
        <v/>
      </c>
      <c r="I355" s="237"/>
    </row>
    <row r="356" spans="1:9">
      <c r="A356" s="232">
        <f t="shared" si="23"/>
        <v>354</v>
      </c>
      <c r="B356" s="233">
        <v>45798</v>
      </c>
      <c r="C356" s="234">
        <v>101.228334</v>
      </c>
      <c r="D356" s="235">
        <v>169.33205925204089</v>
      </c>
      <c r="E356" s="234">
        <f t="shared" si="20"/>
        <v>101.228334</v>
      </c>
      <c r="F356" s="239"/>
      <c r="G356" s="188" t="str">
        <f t="shared" si="21"/>
        <v/>
      </c>
      <c r="H356" s="236" t="str">
        <f t="shared" si="22"/>
        <v/>
      </c>
      <c r="I356" s="237"/>
    </row>
    <row r="357" spans="1:9">
      <c r="A357" s="232">
        <f t="shared" si="23"/>
        <v>355</v>
      </c>
      <c r="B357" s="233">
        <v>45799</v>
      </c>
      <c r="C357" s="234">
        <v>195.44540499999999</v>
      </c>
      <c r="D357" s="235">
        <v>169.33205925204089</v>
      </c>
      <c r="E357" s="234">
        <f t="shared" si="20"/>
        <v>169.33205925204089</v>
      </c>
      <c r="F357" s="239"/>
      <c r="G357" s="188" t="str">
        <f t="shared" si="21"/>
        <v/>
      </c>
      <c r="H357" s="236" t="str">
        <f t="shared" si="22"/>
        <v/>
      </c>
      <c r="I357" s="237"/>
    </row>
    <row r="358" spans="1:9">
      <c r="A358" s="232">
        <f t="shared" si="23"/>
        <v>356</v>
      </c>
      <c r="B358" s="233">
        <v>45800</v>
      </c>
      <c r="C358" s="234">
        <v>198.442679</v>
      </c>
      <c r="D358" s="235">
        <v>169.33205925204089</v>
      </c>
      <c r="E358" s="234">
        <f t="shared" si="20"/>
        <v>169.33205925204089</v>
      </c>
      <c r="F358" s="239"/>
      <c r="G358" s="188" t="str">
        <f t="shared" si="21"/>
        <v/>
      </c>
      <c r="H358" s="236" t="str">
        <f t="shared" si="22"/>
        <v/>
      </c>
      <c r="I358" s="237"/>
    </row>
    <row r="359" spans="1:9">
      <c r="A359" s="232">
        <f t="shared" si="23"/>
        <v>357</v>
      </c>
      <c r="B359" s="233">
        <v>45801</v>
      </c>
      <c r="C359" s="234">
        <v>108.31279999999998</v>
      </c>
      <c r="D359" s="235">
        <v>169.33205925204089</v>
      </c>
      <c r="E359" s="234">
        <f t="shared" si="20"/>
        <v>108.31279999999998</v>
      </c>
      <c r="F359" s="239"/>
      <c r="G359" s="188" t="str">
        <f t="shared" si="21"/>
        <v/>
      </c>
      <c r="H359" s="236" t="str">
        <f t="shared" si="22"/>
        <v/>
      </c>
      <c r="I359" s="237"/>
    </row>
    <row r="360" spans="1:9">
      <c r="A360" s="232">
        <f t="shared" si="23"/>
        <v>358</v>
      </c>
      <c r="B360" s="233">
        <v>45802</v>
      </c>
      <c r="C360" s="234">
        <v>60.122805</v>
      </c>
      <c r="D360" s="235">
        <v>169.33205925204089</v>
      </c>
      <c r="E360" s="234">
        <f t="shared" si="20"/>
        <v>60.122805</v>
      </c>
      <c r="F360" s="239"/>
      <c r="G360" s="188" t="str">
        <f t="shared" si="21"/>
        <v/>
      </c>
      <c r="H360" s="236" t="str">
        <f t="shared" si="22"/>
        <v/>
      </c>
      <c r="I360" s="237"/>
    </row>
    <row r="361" spans="1:9">
      <c r="A361" s="232">
        <f t="shared" si="23"/>
        <v>359</v>
      </c>
      <c r="B361" s="233">
        <v>45803</v>
      </c>
      <c r="C361" s="234">
        <v>108.48711899999999</v>
      </c>
      <c r="D361" s="235">
        <v>169.33205925204089</v>
      </c>
      <c r="E361" s="234">
        <f t="shared" si="20"/>
        <v>108.48711899999999</v>
      </c>
      <c r="F361" s="239"/>
      <c r="G361" s="188" t="str">
        <f t="shared" si="21"/>
        <v/>
      </c>
      <c r="H361" s="236" t="str">
        <f t="shared" si="22"/>
        <v/>
      </c>
      <c r="I361" s="237"/>
    </row>
    <row r="362" spans="1:9">
      <c r="A362" s="232">
        <f t="shared" si="23"/>
        <v>360</v>
      </c>
      <c r="B362" s="233">
        <v>45804</v>
      </c>
      <c r="C362" s="234">
        <v>89.988647999999998</v>
      </c>
      <c r="D362" s="235">
        <v>169.33205925204089</v>
      </c>
      <c r="E362" s="234">
        <f t="shared" si="20"/>
        <v>89.988647999999998</v>
      </c>
      <c r="F362" s="239"/>
      <c r="G362" s="188" t="str">
        <f t="shared" si="21"/>
        <v/>
      </c>
      <c r="H362" s="236" t="str">
        <f t="shared" si="22"/>
        <v/>
      </c>
      <c r="I362" s="237"/>
    </row>
    <row r="363" spans="1:9">
      <c r="A363" s="232">
        <f t="shared" si="23"/>
        <v>361</v>
      </c>
      <c r="B363" s="233">
        <v>45805</v>
      </c>
      <c r="C363" s="234">
        <v>73.764529999999993</v>
      </c>
      <c r="D363" s="235">
        <v>169.33205925204089</v>
      </c>
      <c r="E363" s="234">
        <f t="shared" si="20"/>
        <v>73.764529999999993</v>
      </c>
      <c r="F363" s="239"/>
      <c r="G363" s="188" t="str">
        <f t="shared" si="21"/>
        <v/>
      </c>
      <c r="H363" s="236" t="str">
        <f t="shared" si="22"/>
        <v/>
      </c>
      <c r="I363" s="237"/>
    </row>
    <row r="364" spans="1:9">
      <c r="A364" s="232">
        <f t="shared" si="23"/>
        <v>362</v>
      </c>
      <c r="B364" s="233">
        <v>45806</v>
      </c>
      <c r="C364" s="234">
        <v>73.826587000000004</v>
      </c>
      <c r="D364" s="235">
        <v>169.33205925204089</v>
      </c>
      <c r="E364" s="234">
        <f t="shared" si="20"/>
        <v>73.826587000000004</v>
      </c>
      <c r="F364" s="239"/>
      <c r="G364" s="188" t="str">
        <f t="shared" si="21"/>
        <v/>
      </c>
      <c r="H364" s="236" t="str">
        <f t="shared" si="22"/>
        <v/>
      </c>
      <c r="I364" s="237"/>
    </row>
    <row r="365" spans="1:9">
      <c r="A365" s="232">
        <f t="shared" si="23"/>
        <v>363</v>
      </c>
      <c r="B365" s="233">
        <v>45807</v>
      </c>
      <c r="C365" s="234">
        <v>80.925066000000001</v>
      </c>
      <c r="D365" s="235">
        <v>169.33205925204089</v>
      </c>
      <c r="E365" s="234">
        <f t="shared" si="20"/>
        <v>80.925066000000001</v>
      </c>
      <c r="F365" s="239"/>
      <c r="G365" s="188" t="str">
        <f t="shared" si="21"/>
        <v/>
      </c>
      <c r="H365" s="236" t="str">
        <f t="shared" si="22"/>
        <v/>
      </c>
      <c r="I365" s="237"/>
    </row>
    <row r="366" spans="1:9">
      <c r="A366" s="232">
        <f t="shared" si="23"/>
        <v>364</v>
      </c>
      <c r="B366" s="233">
        <v>45808</v>
      </c>
      <c r="C366" s="234">
        <v>69.140265999999997</v>
      </c>
      <c r="D366" s="235">
        <v>169.33205925204089</v>
      </c>
      <c r="E366" s="234">
        <f t="shared" si="20"/>
        <v>69.140265999999997</v>
      </c>
      <c r="F366" s="239"/>
      <c r="G366" s="188" t="str">
        <f t="shared" si="21"/>
        <v/>
      </c>
      <c r="H366" s="236" t="str">
        <f t="shared" si="22"/>
        <v/>
      </c>
      <c r="I366" s="237"/>
    </row>
    <row r="367" spans="1:9">
      <c r="A367" s="232">
        <f t="shared" si="23"/>
        <v>365</v>
      </c>
      <c r="B367" s="233">
        <v>45809</v>
      </c>
      <c r="C367" s="234">
        <v>111.435053</v>
      </c>
      <c r="D367" s="235">
        <v>134.23954108515446</v>
      </c>
      <c r="E367" s="234">
        <f t="shared" si="20"/>
        <v>111.435053</v>
      </c>
      <c r="F367" s="237"/>
      <c r="G367" s="188" t="str">
        <f t="shared" si="21"/>
        <v/>
      </c>
      <c r="H367" s="236" t="str">
        <f t="shared" si="22"/>
        <v/>
      </c>
      <c r="I367" s="237"/>
    </row>
    <row r="368" spans="1:9">
      <c r="A368" s="232">
        <f t="shared" si="23"/>
        <v>366</v>
      </c>
      <c r="B368" s="233">
        <v>45810</v>
      </c>
      <c r="C368" s="234">
        <v>182.22426000000002</v>
      </c>
      <c r="D368" s="235">
        <v>134.23954108515446</v>
      </c>
      <c r="E368" s="234">
        <f t="shared" si="20"/>
        <v>134.23954108515446</v>
      </c>
      <c r="F368" s="237"/>
      <c r="G368" s="188" t="str">
        <f t="shared" si="21"/>
        <v/>
      </c>
      <c r="H368" s="236" t="str">
        <f t="shared" si="22"/>
        <v/>
      </c>
      <c r="I368" s="237"/>
    </row>
    <row r="369" spans="1:9">
      <c r="A369" s="232">
        <f t="shared" si="23"/>
        <v>367</v>
      </c>
      <c r="B369" s="233">
        <v>45811</v>
      </c>
      <c r="C369" s="234">
        <v>105.688453</v>
      </c>
      <c r="D369" s="235">
        <v>134.23954108515446</v>
      </c>
      <c r="E369" s="234">
        <f t="shared" si="20"/>
        <v>105.688453</v>
      </c>
      <c r="F369" s="239"/>
      <c r="G369" s="188" t="str">
        <f t="shared" si="21"/>
        <v/>
      </c>
      <c r="H369" s="236" t="str">
        <f t="shared" si="22"/>
        <v/>
      </c>
      <c r="I369" s="237"/>
    </row>
    <row r="370" spans="1:9">
      <c r="A370" s="232">
        <f t="shared" si="23"/>
        <v>368</v>
      </c>
      <c r="B370" s="233">
        <v>45812</v>
      </c>
      <c r="C370" s="234">
        <v>90.691767999999996</v>
      </c>
      <c r="D370" s="235">
        <v>134.23954108515446</v>
      </c>
      <c r="E370" s="234">
        <f t="shared" si="20"/>
        <v>90.691767999999996</v>
      </c>
      <c r="F370" s="239"/>
      <c r="G370" s="188" t="str">
        <f t="shared" si="21"/>
        <v/>
      </c>
      <c r="H370" s="236" t="str">
        <f t="shared" si="22"/>
        <v/>
      </c>
      <c r="I370" s="237"/>
    </row>
    <row r="371" spans="1:9">
      <c r="A371" s="232">
        <f t="shared" si="23"/>
        <v>369</v>
      </c>
      <c r="B371" s="233">
        <v>45813</v>
      </c>
      <c r="C371" s="234">
        <v>92.065466000000001</v>
      </c>
      <c r="D371" s="235">
        <v>134.23954108515446</v>
      </c>
      <c r="E371" s="234">
        <f t="shared" si="20"/>
        <v>92.065466000000001</v>
      </c>
      <c r="F371" s="239"/>
      <c r="G371" s="188" t="str">
        <f t="shared" si="21"/>
        <v/>
      </c>
      <c r="H371" s="236" t="str">
        <f t="shared" si="22"/>
        <v/>
      </c>
      <c r="I371" s="237"/>
    </row>
    <row r="372" spans="1:9">
      <c r="A372" s="232">
        <f t="shared" si="23"/>
        <v>370</v>
      </c>
      <c r="B372" s="233">
        <v>45814</v>
      </c>
      <c r="C372" s="234">
        <v>73.003224000000003</v>
      </c>
      <c r="D372" s="235">
        <v>134.23954108515446</v>
      </c>
      <c r="E372" s="234">
        <f t="shared" si="20"/>
        <v>73.003224000000003</v>
      </c>
      <c r="F372" s="239"/>
      <c r="G372" s="188" t="str">
        <f t="shared" si="21"/>
        <v/>
      </c>
      <c r="H372" s="236" t="str">
        <f t="shared" si="22"/>
        <v/>
      </c>
      <c r="I372" s="237"/>
    </row>
    <row r="373" spans="1:9">
      <c r="A373" s="232">
        <f t="shared" si="23"/>
        <v>371</v>
      </c>
      <c r="B373" s="233">
        <v>45815</v>
      </c>
      <c r="C373" s="234">
        <v>73.094994999999997</v>
      </c>
      <c r="D373" s="235">
        <v>134.23954108515446</v>
      </c>
      <c r="E373" s="234">
        <f t="shared" si="20"/>
        <v>73.094994999999997</v>
      </c>
      <c r="F373" s="239"/>
      <c r="G373" s="188" t="str">
        <f t="shared" si="21"/>
        <v/>
      </c>
      <c r="H373" s="236" t="str">
        <f t="shared" si="22"/>
        <v/>
      </c>
      <c r="I373" s="237"/>
    </row>
    <row r="374" spans="1:9">
      <c r="A374" s="232">
        <f t="shared" si="23"/>
        <v>372</v>
      </c>
      <c r="B374" s="233">
        <v>45816</v>
      </c>
      <c r="C374" s="234">
        <v>90.551684000000009</v>
      </c>
      <c r="D374" s="235">
        <v>134.23954108515446</v>
      </c>
      <c r="E374" s="234">
        <f t="shared" si="20"/>
        <v>90.551684000000009</v>
      </c>
      <c r="F374" s="239"/>
      <c r="G374" s="188" t="str">
        <f t="shared" si="21"/>
        <v/>
      </c>
      <c r="H374" s="236" t="str">
        <f t="shared" si="22"/>
        <v/>
      </c>
      <c r="I374" s="237"/>
    </row>
    <row r="375" spans="1:9">
      <c r="A375" s="232">
        <f t="shared" si="23"/>
        <v>373</v>
      </c>
      <c r="B375" s="233">
        <v>45817</v>
      </c>
      <c r="C375" s="234">
        <v>98.799042</v>
      </c>
      <c r="D375" s="235">
        <v>134.23954108515446</v>
      </c>
      <c r="E375" s="234">
        <f t="shared" si="20"/>
        <v>98.799042</v>
      </c>
      <c r="F375" s="239"/>
      <c r="G375" s="188" t="str">
        <f t="shared" si="21"/>
        <v/>
      </c>
      <c r="H375" s="236" t="str">
        <f t="shared" si="22"/>
        <v/>
      </c>
      <c r="I375" s="237"/>
    </row>
    <row r="376" spans="1:9">
      <c r="A376" s="232">
        <f t="shared" si="23"/>
        <v>374</v>
      </c>
      <c r="B376" s="233">
        <v>45818</v>
      </c>
      <c r="C376" s="234">
        <v>105.73545900000001</v>
      </c>
      <c r="D376" s="235">
        <v>134.23954108515446</v>
      </c>
      <c r="E376" s="234">
        <f t="shared" si="20"/>
        <v>105.73545900000001</v>
      </c>
      <c r="F376" s="239"/>
      <c r="G376" s="188" t="str">
        <f t="shared" si="21"/>
        <v/>
      </c>
      <c r="H376" s="236" t="str">
        <f t="shared" si="22"/>
        <v/>
      </c>
      <c r="I376" s="237"/>
    </row>
    <row r="377" spans="1:9">
      <c r="A377" s="232">
        <f t="shared" si="23"/>
        <v>375</v>
      </c>
      <c r="B377" s="233">
        <v>45819</v>
      </c>
      <c r="C377" s="234">
        <v>158.98861000000002</v>
      </c>
      <c r="D377" s="235">
        <v>134.23954108515446</v>
      </c>
      <c r="E377" s="234">
        <f t="shared" si="20"/>
        <v>134.23954108515446</v>
      </c>
      <c r="F377" s="239"/>
      <c r="G377" s="188" t="str">
        <f t="shared" si="21"/>
        <v/>
      </c>
      <c r="H377" s="236" t="str">
        <f t="shared" si="22"/>
        <v/>
      </c>
      <c r="I377" s="237"/>
    </row>
    <row r="378" spans="1:9">
      <c r="A378" s="232">
        <f t="shared" si="23"/>
        <v>376</v>
      </c>
      <c r="B378" s="233">
        <v>45820</v>
      </c>
      <c r="C378" s="234">
        <v>91.165997000000004</v>
      </c>
      <c r="D378" s="235">
        <v>134.23954108515446</v>
      </c>
      <c r="E378" s="234">
        <f t="shared" si="20"/>
        <v>91.165997000000004</v>
      </c>
      <c r="F378" s="239"/>
      <c r="G378" s="188" t="str">
        <f t="shared" si="21"/>
        <v/>
      </c>
      <c r="H378" s="236" t="str">
        <f t="shared" si="22"/>
        <v/>
      </c>
      <c r="I378" s="237"/>
    </row>
    <row r="379" spans="1:9">
      <c r="A379" s="232">
        <f t="shared" si="23"/>
        <v>377</v>
      </c>
      <c r="B379" s="233">
        <v>45821</v>
      </c>
      <c r="C379" s="234">
        <v>100.57450900000001</v>
      </c>
      <c r="D379" s="235">
        <v>134.23954108515446</v>
      </c>
      <c r="E379" s="234">
        <f t="shared" si="20"/>
        <v>100.57450900000001</v>
      </c>
      <c r="F379" s="239"/>
      <c r="G379" s="188" t="str">
        <f t="shared" si="21"/>
        <v/>
      </c>
      <c r="H379" s="236" t="str">
        <f t="shared" si="22"/>
        <v/>
      </c>
      <c r="I379" s="237"/>
    </row>
    <row r="380" spans="1:9">
      <c r="A380" s="232">
        <f t="shared" si="23"/>
        <v>378</v>
      </c>
      <c r="B380" s="233">
        <v>45822</v>
      </c>
      <c r="C380" s="234">
        <v>74.378728999999993</v>
      </c>
      <c r="D380" s="235">
        <v>134.23954108515446</v>
      </c>
      <c r="E380" s="234">
        <f t="shared" si="20"/>
        <v>74.378728999999993</v>
      </c>
      <c r="F380" s="239"/>
      <c r="G380" s="188" t="str">
        <f t="shared" si="21"/>
        <v/>
      </c>
      <c r="H380" s="236" t="str">
        <f t="shared" si="22"/>
        <v/>
      </c>
      <c r="I380" s="237"/>
    </row>
    <row r="381" spans="1:9">
      <c r="A381" s="232">
        <f t="shared" si="23"/>
        <v>379</v>
      </c>
      <c r="B381" s="233">
        <v>45823</v>
      </c>
      <c r="C381" s="234">
        <v>158.88886500000001</v>
      </c>
      <c r="D381" s="235">
        <v>134.23954108515446</v>
      </c>
      <c r="E381" s="234">
        <f t="shared" si="20"/>
        <v>134.23954108515446</v>
      </c>
      <c r="F381" s="239"/>
      <c r="G381" s="188" t="str">
        <f t="shared" si="21"/>
        <v>J</v>
      </c>
      <c r="H381" s="236" t="str">
        <f t="shared" si="22"/>
        <v>134,2</v>
      </c>
      <c r="I381" s="237"/>
    </row>
    <row r="382" spans="1:9">
      <c r="A382" s="232">
        <f t="shared" si="23"/>
        <v>380</v>
      </c>
      <c r="B382" s="233">
        <v>45824</v>
      </c>
      <c r="C382" s="234">
        <v>144.43134899999998</v>
      </c>
      <c r="D382" s="235">
        <v>134.23954108515446</v>
      </c>
      <c r="E382" s="234">
        <f t="shared" ref="E382:E390" si="24">IF(C382&gt;D382,D382,C382)</f>
        <v>134.23954108515446</v>
      </c>
      <c r="F382" s="239"/>
      <c r="G382" s="188" t="str">
        <f t="shared" si="21"/>
        <v/>
      </c>
      <c r="H382" s="236" t="str">
        <f t="shared" si="22"/>
        <v/>
      </c>
      <c r="I382" s="237"/>
    </row>
    <row r="383" spans="1:9">
      <c r="A383" s="232">
        <f t="shared" si="23"/>
        <v>381</v>
      </c>
      <c r="B383" s="233">
        <v>45825</v>
      </c>
      <c r="C383" s="234">
        <v>95.715376999999989</v>
      </c>
      <c r="D383" s="235">
        <v>134.23954108515446</v>
      </c>
      <c r="E383" s="234">
        <f t="shared" si="24"/>
        <v>95.715376999999989</v>
      </c>
      <c r="F383" s="239"/>
      <c r="G383" s="188" t="str">
        <f t="shared" si="21"/>
        <v/>
      </c>
      <c r="H383" s="236" t="str">
        <f t="shared" si="22"/>
        <v/>
      </c>
      <c r="I383" s="237"/>
    </row>
    <row r="384" spans="1:9">
      <c r="A384" s="232">
        <f t="shared" si="23"/>
        <v>382</v>
      </c>
      <c r="B384" s="233">
        <v>45826</v>
      </c>
      <c r="C384" s="234">
        <v>67.396819000000008</v>
      </c>
      <c r="D384" s="235">
        <v>134.23954108515446</v>
      </c>
      <c r="E384" s="234">
        <f t="shared" si="24"/>
        <v>67.396819000000008</v>
      </c>
      <c r="F384" s="239"/>
      <c r="G384" s="188" t="str">
        <f t="shared" si="21"/>
        <v/>
      </c>
      <c r="H384" s="236" t="str">
        <f t="shared" si="22"/>
        <v/>
      </c>
      <c r="I384" s="237"/>
    </row>
    <row r="385" spans="1:9">
      <c r="A385" s="232">
        <f t="shared" si="23"/>
        <v>383</v>
      </c>
      <c r="B385" s="233">
        <v>45827</v>
      </c>
      <c r="C385" s="234">
        <v>90.354638000000008</v>
      </c>
      <c r="D385" s="235">
        <v>134.23954108515446</v>
      </c>
      <c r="E385" s="234">
        <f t="shared" si="24"/>
        <v>90.354638000000008</v>
      </c>
      <c r="F385" s="239"/>
      <c r="G385" s="188" t="str">
        <f t="shared" si="21"/>
        <v/>
      </c>
      <c r="H385" s="236" t="str">
        <f t="shared" si="22"/>
        <v/>
      </c>
      <c r="I385" s="237"/>
    </row>
    <row r="386" spans="1:9">
      <c r="A386" s="232">
        <f t="shared" si="23"/>
        <v>384</v>
      </c>
      <c r="B386" s="233">
        <v>45828</v>
      </c>
      <c r="C386" s="234">
        <v>79.801942999999994</v>
      </c>
      <c r="D386" s="235">
        <v>134.23954108515446</v>
      </c>
      <c r="E386" s="234">
        <f t="shared" si="24"/>
        <v>79.801942999999994</v>
      </c>
      <c r="F386" s="239"/>
      <c r="G386" s="188" t="str">
        <f t="shared" si="21"/>
        <v/>
      </c>
      <c r="H386" s="236" t="str">
        <f t="shared" si="22"/>
        <v/>
      </c>
      <c r="I386" s="237"/>
    </row>
    <row r="387" spans="1:9">
      <c r="A387" s="232">
        <f t="shared" si="23"/>
        <v>385</v>
      </c>
      <c r="B387" s="233">
        <v>45829</v>
      </c>
      <c r="C387" s="234">
        <v>81.718552000000017</v>
      </c>
      <c r="D387" s="235">
        <v>134.23954108515446</v>
      </c>
      <c r="E387" s="234">
        <f t="shared" si="24"/>
        <v>81.718552000000017</v>
      </c>
      <c r="F387" s="239"/>
      <c r="G387" s="188" t="str">
        <f t="shared" ref="G387:G450" si="25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36" t="str">
        <f t="shared" ref="H387:H450" si="26">IF(DAY($B387)=15,TEXT(D387,"#,0"),"")</f>
        <v/>
      </c>
      <c r="I387" s="237"/>
    </row>
    <row r="388" spans="1:9">
      <c r="A388" s="232">
        <f t="shared" ref="A388:A451" si="27">+A387+1</f>
        <v>386</v>
      </c>
      <c r="B388" s="233">
        <v>45830</v>
      </c>
      <c r="C388" s="234">
        <v>94.015771999999998</v>
      </c>
      <c r="D388" s="235">
        <v>134.23954108515446</v>
      </c>
      <c r="E388" s="234">
        <f t="shared" si="24"/>
        <v>94.015771999999998</v>
      </c>
      <c r="F388" s="239"/>
      <c r="G388" s="188" t="str">
        <f t="shared" si="25"/>
        <v/>
      </c>
      <c r="H388" s="236" t="str">
        <f t="shared" si="26"/>
        <v/>
      </c>
      <c r="I388" s="237"/>
    </row>
    <row r="389" spans="1:9">
      <c r="A389" s="232">
        <f t="shared" si="27"/>
        <v>387</v>
      </c>
      <c r="B389" s="233">
        <v>45831</v>
      </c>
      <c r="C389" s="234">
        <v>114.845062</v>
      </c>
      <c r="D389" s="235">
        <v>134.23954108515446</v>
      </c>
      <c r="E389" s="234">
        <f t="shared" si="24"/>
        <v>114.845062</v>
      </c>
      <c r="F389" s="239"/>
      <c r="G389" s="188" t="str">
        <f t="shared" si="25"/>
        <v/>
      </c>
      <c r="H389" s="236" t="str">
        <f t="shared" si="26"/>
        <v/>
      </c>
      <c r="I389" s="237"/>
    </row>
    <row r="390" spans="1:9">
      <c r="A390" s="232">
        <f t="shared" si="27"/>
        <v>388</v>
      </c>
      <c r="B390" s="233">
        <v>45832</v>
      </c>
      <c r="C390" s="234">
        <v>145.82964999999999</v>
      </c>
      <c r="D390" s="235">
        <v>134.23954108515446</v>
      </c>
      <c r="E390" s="234">
        <f t="shared" si="24"/>
        <v>134.23954108515446</v>
      </c>
      <c r="F390" s="239"/>
      <c r="G390" s="188" t="str">
        <f t="shared" si="25"/>
        <v/>
      </c>
      <c r="H390" s="236" t="str">
        <f t="shared" si="26"/>
        <v/>
      </c>
      <c r="I390" s="237"/>
    </row>
    <row r="391" spans="1:9">
      <c r="A391" s="232">
        <f t="shared" si="27"/>
        <v>389</v>
      </c>
      <c r="B391" s="233">
        <v>45833</v>
      </c>
      <c r="C391" s="234">
        <v>133.50499400000001</v>
      </c>
      <c r="D391" s="235">
        <v>134.23954108515446</v>
      </c>
      <c r="E391" s="234">
        <f t="shared" ref="E391:E454" si="28">IF(C391&gt;D391,D391,C391)</f>
        <v>133.50499400000001</v>
      </c>
      <c r="F391" s="239"/>
      <c r="G391" s="188" t="str">
        <f t="shared" si="25"/>
        <v/>
      </c>
      <c r="H391" s="236" t="str">
        <f t="shared" si="26"/>
        <v/>
      </c>
      <c r="I391" s="237"/>
    </row>
    <row r="392" spans="1:9">
      <c r="A392" s="232">
        <f t="shared" si="27"/>
        <v>390</v>
      </c>
      <c r="B392" s="233">
        <v>45834</v>
      </c>
      <c r="C392" s="234">
        <v>106.92297600000001</v>
      </c>
      <c r="D392" s="235">
        <v>134.23954108515446</v>
      </c>
      <c r="E392" s="234">
        <f t="shared" si="28"/>
        <v>106.92297600000001</v>
      </c>
      <c r="F392" s="239"/>
      <c r="G392" s="188" t="str">
        <f t="shared" si="25"/>
        <v/>
      </c>
      <c r="H392" s="236" t="str">
        <f t="shared" si="26"/>
        <v/>
      </c>
      <c r="I392" s="237"/>
    </row>
    <row r="393" spans="1:9">
      <c r="A393" s="232">
        <f t="shared" si="27"/>
        <v>391</v>
      </c>
      <c r="B393" s="233">
        <v>45835</v>
      </c>
      <c r="C393" s="234">
        <v>74.418779999999998</v>
      </c>
      <c r="D393" s="235">
        <v>134.23954108515446</v>
      </c>
      <c r="E393" s="234">
        <f t="shared" si="28"/>
        <v>74.418779999999998</v>
      </c>
      <c r="F393" s="239"/>
      <c r="G393" s="188" t="str">
        <f t="shared" si="25"/>
        <v/>
      </c>
      <c r="H393" s="236" t="str">
        <f t="shared" si="26"/>
        <v/>
      </c>
      <c r="I393" s="237"/>
    </row>
    <row r="394" spans="1:9">
      <c r="A394" s="232">
        <f t="shared" si="27"/>
        <v>392</v>
      </c>
      <c r="B394" s="233">
        <v>45836</v>
      </c>
      <c r="C394" s="234">
        <v>82.586341000000004</v>
      </c>
      <c r="D394" s="235">
        <v>134.23954108515446</v>
      </c>
      <c r="E394" s="234">
        <f t="shared" si="28"/>
        <v>82.586341000000004</v>
      </c>
      <c r="F394" s="239"/>
      <c r="G394" s="188" t="str">
        <f t="shared" si="25"/>
        <v/>
      </c>
      <c r="H394" s="236" t="str">
        <f t="shared" si="26"/>
        <v/>
      </c>
      <c r="I394" s="237"/>
    </row>
    <row r="395" spans="1:9">
      <c r="A395" s="232">
        <f t="shared" si="27"/>
        <v>393</v>
      </c>
      <c r="B395" s="233">
        <v>45837</v>
      </c>
      <c r="C395" s="234">
        <v>83.282995999999997</v>
      </c>
      <c r="D395" s="235">
        <v>134.23954108515446</v>
      </c>
      <c r="E395" s="234">
        <f t="shared" si="28"/>
        <v>83.282995999999997</v>
      </c>
      <c r="F395" s="239"/>
      <c r="G395" s="188" t="str">
        <f t="shared" si="25"/>
        <v/>
      </c>
      <c r="H395" s="236" t="str">
        <f t="shared" si="26"/>
        <v/>
      </c>
      <c r="I395" s="237"/>
    </row>
    <row r="396" spans="1:9">
      <c r="A396" s="232">
        <f t="shared" si="27"/>
        <v>394</v>
      </c>
      <c r="B396" s="233">
        <v>45838</v>
      </c>
      <c r="C396" s="234">
        <v>88.473113000000012</v>
      </c>
      <c r="D396" s="235">
        <v>134.23954108515446</v>
      </c>
      <c r="E396" s="234">
        <f t="shared" si="28"/>
        <v>88.473113000000012</v>
      </c>
      <c r="F396" s="239"/>
      <c r="G396" s="188" t="str">
        <f t="shared" si="25"/>
        <v/>
      </c>
      <c r="H396" s="236" t="str">
        <f t="shared" si="26"/>
        <v/>
      </c>
      <c r="I396" s="237"/>
    </row>
    <row r="397" spans="1:9">
      <c r="A397" s="232">
        <f t="shared" si="27"/>
        <v>395</v>
      </c>
      <c r="B397" s="233">
        <v>45839</v>
      </c>
      <c r="C397" s="234">
        <v>84.523108000000008</v>
      </c>
      <c r="D397" s="235">
        <v>142.13676927747508</v>
      </c>
      <c r="E397" s="234">
        <f t="shared" si="28"/>
        <v>84.523108000000008</v>
      </c>
      <c r="F397" s="239"/>
      <c r="G397" s="188" t="str">
        <f t="shared" si="25"/>
        <v/>
      </c>
      <c r="H397" s="236" t="str">
        <f t="shared" si="26"/>
        <v/>
      </c>
      <c r="I397" s="237"/>
    </row>
    <row r="398" spans="1:9">
      <c r="A398" s="232">
        <f t="shared" si="27"/>
        <v>396</v>
      </c>
      <c r="B398" s="233">
        <v>45840</v>
      </c>
      <c r="C398" s="234">
        <v>161.72694200000001</v>
      </c>
      <c r="D398" s="235">
        <v>142.13676927747508</v>
      </c>
      <c r="E398" s="234">
        <f t="shared" si="28"/>
        <v>142.13676927747508</v>
      </c>
      <c r="F398" s="237"/>
      <c r="G398" s="188" t="str">
        <f t="shared" si="25"/>
        <v/>
      </c>
      <c r="H398" s="236" t="str">
        <f t="shared" si="26"/>
        <v/>
      </c>
      <c r="I398" s="237"/>
    </row>
    <row r="399" spans="1:9">
      <c r="A399" s="232">
        <f t="shared" si="27"/>
        <v>397</v>
      </c>
      <c r="B399" s="233">
        <v>45841</v>
      </c>
      <c r="C399" s="234">
        <v>214.717973</v>
      </c>
      <c r="D399" s="235">
        <v>142.13676927747508</v>
      </c>
      <c r="E399" s="234">
        <f t="shared" si="28"/>
        <v>142.13676927747508</v>
      </c>
      <c r="F399" s="237"/>
      <c r="G399" s="188" t="str">
        <f t="shared" si="25"/>
        <v/>
      </c>
      <c r="H399" s="236" t="str">
        <f t="shared" si="26"/>
        <v/>
      </c>
      <c r="I399" s="237"/>
    </row>
    <row r="400" spans="1:9">
      <c r="A400" s="232">
        <f t="shared" si="27"/>
        <v>398</v>
      </c>
      <c r="B400" s="233">
        <v>45842</v>
      </c>
      <c r="C400" s="234">
        <v>156.23391100000003</v>
      </c>
      <c r="D400" s="235">
        <v>142.13676927747508</v>
      </c>
      <c r="E400" s="234">
        <f t="shared" si="28"/>
        <v>142.13676927747508</v>
      </c>
      <c r="F400" s="239"/>
      <c r="G400" s="188" t="str">
        <f t="shared" si="25"/>
        <v/>
      </c>
      <c r="H400" s="236" t="str">
        <f t="shared" si="26"/>
        <v/>
      </c>
      <c r="I400" s="237"/>
    </row>
    <row r="401" spans="1:9">
      <c r="A401" s="232">
        <f t="shared" si="27"/>
        <v>399</v>
      </c>
      <c r="B401" s="233">
        <v>45843</v>
      </c>
      <c r="C401" s="234">
        <v>150.013204</v>
      </c>
      <c r="D401" s="235">
        <v>142.13676927747508</v>
      </c>
      <c r="E401" s="234">
        <f t="shared" si="28"/>
        <v>142.13676927747508</v>
      </c>
      <c r="F401" s="239"/>
      <c r="G401" s="188" t="str">
        <f t="shared" si="25"/>
        <v/>
      </c>
      <c r="H401" s="236" t="str">
        <f t="shared" si="26"/>
        <v/>
      </c>
      <c r="I401" s="237"/>
    </row>
    <row r="402" spans="1:9">
      <c r="A402" s="232">
        <f t="shared" si="27"/>
        <v>400</v>
      </c>
      <c r="B402" s="233">
        <v>45844</v>
      </c>
      <c r="C402" s="234">
        <v>115.79121299999998</v>
      </c>
      <c r="D402" s="235">
        <v>142.13676927747508</v>
      </c>
      <c r="E402" s="234">
        <f t="shared" si="28"/>
        <v>115.79121299999998</v>
      </c>
      <c r="F402" s="239"/>
      <c r="G402" s="188" t="str">
        <f t="shared" si="25"/>
        <v/>
      </c>
      <c r="H402" s="236" t="str">
        <f t="shared" si="26"/>
        <v/>
      </c>
      <c r="I402" s="237"/>
    </row>
    <row r="403" spans="1:9">
      <c r="A403" s="232">
        <f t="shared" si="27"/>
        <v>401</v>
      </c>
      <c r="B403" s="233">
        <v>45845</v>
      </c>
      <c r="C403" s="234">
        <v>188.215407</v>
      </c>
      <c r="D403" s="235">
        <v>142.13676927747508</v>
      </c>
      <c r="E403" s="234">
        <f t="shared" si="28"/>
        <v>142.13676927747508</v>
      </c>
      <c r="F403" s="239"/>
      <c r="G403" s="188" t="str">
        <f t="shared" si="25"/>
        <v/>
      </c>
      <c r="H403" s="236" t="str">
        <f t="shared" si="26"/>
        <v/>
      </c>
      <c r="I403" s="237"/>
    </row>
    <row r="404" spans="1:9">
      <c r="A404" s="232">
        <f t="shared" si="27"/>
        <v>402</v>
      </c>
      <c r="B404" s="233">
        <v>45846</v>
      </c>
      <c r="C404" s="234">
        <v>225.77900099999999</v>
      </c>
      <c r="D404" s="235">
        <v>142.13676927747508</v>
      </c>
      <c r="E404" s="234">
        <f t="shared" si="28"/>
        <v>142.13676927747508</v>
      </c>
      <c r="F404" s="239"/>
      <c r="G404" s="188" t="str">
        <f t="shared" si="25"/>
        <v/>
      </c>
      <c r="H404" s="236" t="str">
        <f t="shared" si="26"/>
        <v/>
      </c>
      <c r="I404" s="237"/>
    </row>
    <row r="405" spans="1:9">
      <c r="A405" s="232">
        <f t="shared" si="27"/>
        <v>403</v>
      </c>
      <c r="B405" s="233">
        <v>45847</v>
      </c>
      <c r="C405" s="234">
        <v>118.35066999999999</v>
      </c>
      <c r="D405" s="235">
        <v>142.13676927747508</v>
      </c>
      <c r="E405" s="234">
        <f t="shared" si="28"/>
        <v>118.35066999999999</v>
      </c>
      <c r="F405" s="239"/>
      <c r="G405" s="188" t="str">
        <f t="shared" si="25"/>
        <v/>
      </c>
      <c r="H405" s="236" t="str">
        <f t="shared" si="26"/>
        <v/>
      </c>
      <c r="I405" s="237"/>
    </row>
    <row r="406" spans="1:9">
      <c r="A406" s="232">
        <f t="shared" si="27"/>
        <v>404</v>
      </c>
      <c r="B406" s="233">
        <v>45848</v>
      </c>
      <c r="C406" s="234">
        <v>60.871835999999995</v>
      </c>
      <c r="D406" s="235">
        <v>142.13676927747508</v>
      </c>
      <c r="E406" s="234">
        <f t="shared" si="28"/>
        <v>60.871835999999995</v>
      </c>
      <c r="F406" s="239"/>
      <c r="G406" s="188" t="str">
        <f t="shared" si="25"/>
        <v/>
      </c>
      <c r="H406" s="236" t="str">
        <f t="shared" si="26"/>
        <v/>
      </c>
      <c r="I406" s="237"/>
    </row>
    <row r="407" spans="1:9">
      <c r="A407" s="232">
        <f t="shared" si="27"/>
        <v>405</v>
      </c>
      <c r="B407" s="233">
        <v>45849</v>
      </c>
      <c r="C407" s="234">
        <v>100.20162999999999</v>
      </c>
      <c r="D407" s="235">
        <v>142.13676927747508</v>
      </c>
      <c r="E407" s="234">
        <f t="shared" si="28"/>
        <v>100.20162999999999</v>
      </c>
      <c r="F407" s="239"/>
      <c r="G407" s="188" t="str">
        <f t="shared" si="25"/>
        <v/>
      </c>
      <c r="H407" s="236" t="str">
        <f t="shared" si="26"/>
        <v/>
      </c>
      <c r="I407" s="237"/>
    </row>
    <row r="408" spans="1:9">
      <c r="A408" s="232">
        <f t="shared" si="27"/>
        <v>406</v>
      </c>
      <c r="B408" s="233">
        <v>45850</v>
      </c>
      <c r="C408" s="234">
        <v>71.396677999999994</v>
      </c>
      <c r="D408" s="235">
        <v>142.13676927747508</v>
      </c>
      <c r="E408" s="234">
        <f t="shared" si="28"/>
        <v>71.396677999999994</v>
      </c>
      <c r="F408" s="239"/>
      <c r="G408" s="188" t="str">
        <f t="shared" si="25"/>
        <v/>
      </c>
      <c r="H408" s="236" t="str">
        <f t="shared" si="26"/>
        <v/>
      </c>
      <c r="I408" s="237"/>
    </row>
    <row r="409" spans="1:9">
      <c r="A409" s="232">
        <f t="shared" si="27"/>
        <v>407</v>
      </c>
      <c r="B409" s="233">
        <v>45851</v>
      </c>
      <c r="C409" s="234">
        <v>41.300084999999996</v>
      </c>
      <c r="D409" s="235">
        <v>142.13676927747508</v>
      </c>
      <c r="E409" s="234">
        <f t="shared" si="28"/>
        <v>41.300084999999996</v>
      </c>
      <c r="F409" s="239"/>
      <c r="G409" s="188" t="str">
        <f t="shared" si="25"/>
        <v/>
      </c>
      <c r="H409" s="236" t="str">
        <f t="shared" si="26"/>
        <v/>
      </c>
      <c r="I409" s="237"/>
    </row>
    <row r="410" spans="1:9">
      <c r="A410" s="232">
        <f t="shared" si="27"/>
        <v>408</v>
      </c>
      <c r="B410" s="233">
        <v>45852</v>
      </c>
      <c r="C410" s="234">
        <v>89.42204799999999</v>
      </c>
      <c r="D410" s="235">
        <v>142.13676927747508</v>
      </c>
      <c r="E410" s="234">
        <f t="shared" si="28"/>
        <v>89.42204799999999</v>
      </c>
      <c r="F410" s="239"/>
      <c r="G410" s="188" t="str">
        <f t="shared" si="25"/>
        <v/>
      </c>
      <c r="H410" s="236" t="str">
        <f t="shared" si="26"/>
        <v/>
      </c>
      <c r="I410" s="237"/>
    </row>
    <row r="411" spans="1:9">
      <c r="A411" s="232">
        <f t="shared" si="27"/>
        <v>409</v>
      </c>
      <c r="B411" s="233">
        <v>45853</v>
      </c>
      <c r="C411" s="234">
        <v>116.101466</v>
      </c>
      <c r="D411" s="235">
        <v>142.13676927747508</v>
      </c>
      <c r="E411" s="234">
        <f t="shared" si="28"/>
        <v>116.101466</v>
      </c>
      <c r="F411" s="239"/>
      <c r="G411" s="188" t="str">
        <f t="shared" si="25"/>
        <v>J</v>
      </c>
      <c r="H411" s="236" t="str">
        <f t="shared" si="26"/>
        <v>142,1</v>
      </c>
      <c r="I411" s="237"/>
    </row>
    <row r="412" spans="1:9">
      <c r="A412" s="232">
        <f t="shared" si="27"/>
        <v>410</v>
      </c>
      <c r="B412" s="233">
        <v>45854</v>
      </c>
      <c r="C412" s="234">
        <v>77.283339999999995</v>
      </c>
      <c r="D412" s="235">
        <v>142.13676927747508</v>
      </c>
      <c r="E412" s="234">
        <f t="shared" si="28"/>
        <v>77.283339999999995</v>
      </c>
      <c r="F412" s="239"/>
      <c r="G412" s="188" t="str">
        <f t="shared" si="25"/>
        <v/>
      </c>
      <c r="H412" s="236" t="str">
        <f t="shared" si="26"/>
        <v/>
      </c>
      <c r="I412" s="237"/>
    </row>
    <row r="413" spans="1:9">
      <c r="A413" s="232">
        <f t="shared" si="27"/>
        <v>411</v>
      </c>
      <c r="B413" s="233">
        <v>45855</v>
      </c>
      <c r="C413" s="234">
        <v>76.289976999999993</v>
      </c>
      <c r="D413" s="235">
        <v>142.13676927747508</v>
      </c>
      <c r="E413" s="234">
        <f t="shared" si="28"/>
        <v>76.289976999999993</v>
      </c>
      <c r="F413" s="239"/>
      <c r="G413" s="188" t="str">
        <f t="shared" si="25"/>
        <v/>
      </c>
      <c r="H413" s="236" t="str">
        <f t="shared" si="26"/>
        <v/>
      </c>
      <c r="I413" s="237"/>
    </row>
    <row r="414" spans="1:9">
      <c r="A414" s="232">
        <f t="shared" si="27"/>
        <v>412</v>
      </c>
      <c r="B414" s="233">
        <v>45856</v>
      </c>
      <c r="C414" s="234">
        <v>140.59186599999998</v>
      </c>
      <c r="D414" s="235">
        <v>142.13676927747508</v>
      </c>
      <c r="E414" s="234">
        <f t="shared" si="28"/>
        <v>140.59186599999998</v>
      </c>
      <c r="F414" s="239"/>
      <c r="G414" s="188" t="str">
        <f t="shared" si="25"/>
        <v/>
      </c>
      <c r="H414" s="236" t="str">
        <f t="shared" si="26"/>
        <v/>
      </c>
      <c r="I414" s="237"/>
    </row>
    <row r="415" spans="1:9">
      <c r="A415" s="232">
        <f t="shared" si="27"/>
        <v>413</v>
      </c>
      <c r="B415" s="233">
        <v>45857</v>
      </c>
      <c r="C415" s="234">
        <v>170.78524699999997</v>
      </c>
      <c r="D415" s="235">
        <v>142.13676927747508</v>
      </c>
      <c r="E415" s="234">
        <f t="shared" si="28"/>
        <v>142.13676927747508</v>
      </c>
      <c r="F415" s="239"/>
      <c r="G415" s="188" t="str">
        <f t="shared" si="25"/>
        <v/>
      </c>
      <c r="H415" s="236" t="str">
        <f t="shared" si="26"/>
        <v/>
      </c>
      <c r="I415" s="237"/>
    </row>
    <row r="416" spans="1:9">
      <c r="A416" s="232">
        <f t="shared" si="27"/>
        <v>414</v>
      </c>
      <c r="B416" s="233">
        <v>45858</v>
      </c>
      <c r="C416" s="234">
        <v>181.19532100000001</v>
      </c>
      <c r="D416" s="235">
        <v>142.13676927747508</v>
      </c>
      <c r="E416" s="234">
        <f t="shared" si="28"/>
        <v>142.13676927747508</v>
      </c>
      <c r="F416" s="239"/>
      <c r="G416" s="188" t="str">
        <f t="shared" si="25"/>
        <v/>
      </c>
      <c r="H416" s="236" t="str">
        <f t="shared" si="26"/>
        <v/>
      </c>
      <c r="I416" s="237"/>
    </row>
    <row r="417" spans="1:9">
      <c r="A417" s="232">
        <f t="shared" si="27"/>
        <v>415</v>
      </c>
      <c r="B417" s="233">
        <v>45859</v>
      </c>
      <c r="C417" s="234">
        <v>117.58539</v>
      </c>
      <c r="D417" s="235">
        <v>142.13676927747508</v>
      </c>
      <c r="E417" s="234">
        <f t="shared" si="28"/>
        <v>117.58539</v>
      </c>
      <c r="F417" s="239"/>
      <c r="G417" s="188" t="str">
        <f t="shared" si="25"/>
        <v/>
      </c>
      <c r="H417" s="236" t="str">
        <f t="shared" si="26"/>
        <v/>
      </c>
      <c r="I417" s="237"/>
    </row>
    <row r="418" spans="1:9">
      <c r="A418" s="232">
        <f t="shared" si="27"/>
        <v>416</v>
      </c>
      <c r="B418" s="233">
        <v>45860</v>
      </c>
      <c r="C418" s="234">
        <v>81.948459999999997</v>
      </c>
      <c r="D418" s="235">
        <v>142.13676927747508</v>
      </c>
      <c r="E418" s="234">
        <f t="shared" si="28"/>
        <v>81.948459999999997</v>
      </c>
      <c r="F418" s="239"/>
      <c r="G418" s="188" t="str">
        <f t="shared" si="25"/>
        <v/>
      </c>
      <c r="H418" s="236" t="str">
        <f t="shared" si="26"/>
        <v/>
      </c>
      <c r="I418" s="237"/>
    </row>
    <row r="419" spans="1:9">
      <c r="A419" s="232">
        <f t="shared" si="27"/>
        <v>417</v>
      </c>
      <c r="B419" s="233">
        <v>45861</v>
      </c>
      <c r="C419" s="234">
        <v>151.771355</v>
      </c>
      <c r="D419" s="235">
        <v>142.13676927747508</v>
      </c>
      <c r="E419" s="234">
        <f t="shared" si="28"/>
        <v>142.13676927747508</v>
      </c>
      <c r="F419" s="239"/>
      <c r="G419" s="188" t="str">
        <f t="shared" si="25"/>
        <v/>
      </c>
      <c r="H419" s="236" t="str">
        <f t="shared" si="26"/>
        <v/>
      </c>
      <c r="I419" s="237"/>
    </row>
    <row r="420" spans="1:9">
      <c r="A420" s="232">
        <f t="shared" si="27"/>
        <v>418</v>
      </c>
      <c r="B420" s="233">
        <v>45862</v>
      </c>
      <c r="C420" s="234">
        <v>255.299519</v>
      </c>
      <c r="D420" s="235">
        <v>142.13676927747508</v>
      </c>
      <c r="E420" s="234">
        <f t="shared" si="28"/>
        <v>142.13676927747508</v>
      </c>
      <c r="F420" s="239"/>
      <c r="G420" s="188" t="str">
        <f t="shared" si="25"/>
        <v/>
      </c>
      <c r="H420" s="236" t="str">
        <f t="shared" si="26"/>
        <v/>
      </c>
      <c r="I420" s="237"/>
    </row>
    <row r="421" spans="1:9">
      <c r="A421" s="232">
        <f t="shared" si="27"/>
        <v>419</v>
      </c>
      <c r="B421" s="233">
        <v>45863</v>
      </c>
      <c r="C421" s="234">
        <v>221.47422899999998</v>
      </c>
      <c r="D421" s="235">
        <v>142.13676927747508</v>
      </c>
      <c r="E421" s="234">
        <f t="shared" si="28"/>
        <v>142.13676927747508</v>
      </c>
      <c r="F421" s="239"/>
      <c r="G421" s="188" t="str">
        <f t="shared" si="25"/>
        <v/>
      </c>
      <c r="H421" s="236" t="str">
        <f t="shared" si="26"/>
        <v/>
      </c>
      <c r="I421" s="237"/>
    </row>
    <row r="422" spans="1:9">
      <c r="A422" s="232">
        <f t="shared" si="27"/>
        <v>420</v>
      </c>
      <c r="B422" s="233">
        <v>45864</v>
      </c>
      <c r="C422" s="234">
        <v>180.089921</v>
      </c>
      <c r="D422" s="235">
        <v>142.13676927747508</v>
      </c>
      <c r="E422" s="234">
        <f t="shared" si="28"/>
        <v>142.13676927747508</v>
      </c>
      <c r="F422" s="239"/>
      <c r="G422" s="188" t="str">
        <f t="shared" si="25"/>
        <v/>
      </c>
      <c r="H422" s="236" t="str">
        <f t="shared" si="26"/>
        <v/>
      </c>
      <c r="I422" s="237"/>
    </row>
    <row r="423" spans="1:9">
      <c r="A423" s="232">
        <f t="shared" si="27"/>
        <v>421</v>
      </c>
      <c r="B423" s="233">
        <v>45865</v>
      </c>
      <c r="C423" s="234">
        <v>143.43045699999999</v>
      </c>
      <c r="D423" s="235">
        <v>142.13676927747508</v>
      </c>
      <c r="E423" s="234">
        <f t="shared" si="28"/>
        <v>142.13676927747508</v>
      </c>
      <c r="F423" s="239"/>
      <c r="G423" s="188" t="str">
        <f t="shared" si="25"/>
        <v/>
      </c>
      <c r="H423" s="236" t="str">
        <f t="shared" si="26"/>
        <v/>
      </c>
      <c r="I423" s="237"/>
    </row>
    <row r="424" spans="1:9">
      <c r="A424" s="232">
        <f t="shared" si="27"/>
        <v>422</v>
      </c>
      <c r="B424" s="233">
        <v>45866</v>
      </c>
      <c r="C424" s="234">
        <v>223.99421000000001</v>
      </c>
      <c r="D424" s="235">
        <v>142.13676927747508</v>
      </c>
      <c r="E424" s="234">
        <f t="shared" si="28"/>
        <v>142.13676927747508</v>
      </c>
      <c r="F424" s="239"/>
      <c r="G424" s="188" t="str">
        <f t="shared" si="25"/>
        <v/>
      </c>
      <c r="H424" s="236" t="str">
        <f t="shared" si="26"/>
        <v/>
      </c>
      <c r="I424" s="237"/>
    </row>
    <row r="425" spans="1:9">
      <c r="A425" s="232">
        <f t="shared" si="27"/>
        <v>423</v>
      </c>
      <c r="B425" s="233">
        <v>45867</v>
      </c>
      <c r="C425" s="234">
        <v>246.965239</v>
      </c>
      <c r="D425" s="235">
        <v>142.13676927747508</v>
      </c>
      <c r="E425" s="234">
        <f t="shared" si="28"/>
        <v>142.13676927747508</v>
      </c>
      <c r="F425" s="239"/>
      <c r="G425" s="188" t="str">
        <f t="shared" si="25"/>
        <v/>
      </c>
      <c r="H425" s="236" t="str">
        <f t="shared" si="26"/>
        <v/>
      </c>
      <c r="I425" s="237"/>
    </row>
    <row r="426" spans="1:9">
      <c r="A426" s="232">
        <f t="shared" si="27"/>
        <v>424</v>
      </c>
      <c r="B426" s="233">
        <v>45868</v>
      </c>
      <c r="C426" s="234">
        <v>214.629367</v>
      </c>
      <c r="D426" s="235">
        <v>142.13676927747508</v>
      </c>
      <c r="E426" s="234">
        <f t="shared" si="28"/>
        <v>142.13676927747508</v>
      </c>
      <c r="F426" s="239"/>
      <c r="G426" s="188" t="str">
        <f t="shared" si="25"/>
        <v/>
      </c>
      <c r="H426" s="236" t="str">
        <f t="shared" si="26"/>
        <v/>
      </c>
      <c r="I426" s="237"/>
    </row>
    <row r="427" spans="1:9">
      <c r="A427" s="232">
        <f t="shared" si="27"/>
        <v>425</v>
      </c>
      <c r="B427" s="233">
        <v>45869</v>
      </c>
      <c r="C427" s="234">
        <v>191.62969400000003</v>
      </c>
      <c r="D427" s="235">
        <v>142.13676927747508</v>
      </c>
      <c r="E427" s="234">
        <f t="shared" si="28"/>
        <v>142.13676927747508</v>
      </c>
      <c r="F427" s="239"/>
      <c r="G427" s="188" t="str">
        <f t="shared" si="25"/>
        <v/>
      </c>
      <c r="H427" s="236" t="str">
        <f t="shared" si="26"/>
        <v/>
      </c>
      <c r="I427" s="237"/>
    </row>
    <row r="428" spans="1:9">
      <c r="A428" s="232">
        <f t="shared" si="27"/>
        <v>426</v>
      </c>
      <c r="B428" s="233">
        <v>45870</v>
      </c>
      <c r="C428" s="234">
        <v>196.01874599999999</v>
      </c>
      <c r="D428" s="235">
        <v>138.63663340514475</v>
      </c>
      <c r="E428" s="234">
        <f t="shared" si="28"/>
        <v>138.63663340514475</v>
      </c>
      <c r="F428" s="237"/>
      <c r="G428" s="188" t="str">
        <f t="shared" si="25"/>
        <v/>
      </c>
      <c r="H428" s="236" t="str">
        <f t="shared" si="26"/>
        <v/>
      </c>
      <c r="I428" s="237"/>
    </row>
    <row r="429" spans="1:9">
      <c r="A429" s="232">
        <f t="shared" si="27"/>
        <v>427</v>
      </c>
      <c r="B429" s="233">
        <v>45871</v>
      </c>
      <c r="C429" s="234">
        <v>207.71120899999997</v>
      </c>
      <c r="D429" s="235">
        <v>138.63663340514475</v>
      </c>
      <c r="E429" s="234">
        <f t="shared" si="28"/>
        <v>138.63663340514475</v>
      </c>
      <c r="F429" s="237"/>
      <c r="G429" s="188" t="str">
        <f t="shared" si="25"/>
        <v/>
      </c>
      <c r="H429" s="236" t="str">
        <f t="shared" si="26"/>
        <v/>
      </c>
      <c r="I429" s="237"/>
    </row>
    <row r="430" spans="1:9">
      <c r="A430" s="232">
        <f t="shared" si="27"/>
        <v>428</v>
      </c>
      <c r="B430" s="233">
        <v>45872</v>
      </c>
      <c r="C430" s="234">
        <v>167.25447699999998</v>
      </c>
      <c r="D430" s="235">
        <v>138.63663340514475</v>
      </c>
      <c r="E430" s="234">
        <f t="shared" si="28"/>
        <v>138.63663340514475</v>
      </c>
      <c r="F430" s="239"/>
      <c r="G430" s="188" t="str">
        <f t="shared" si="25"/>
        <v/>
      </c>
      <c r="H430" s="236" t="str">
        <f t="shared" si="26"/>
        <v/>
      </c>
      <c r="I430" s="237"/>
    </row>
    <row r="431" spans="1:9">
      <c r="A431" s="232">
        <f t="shared" si="27"/>
        <v>429</v>
      </c>
      <c r="B431" s="233">
        <v>45873</v>
      </c>
      <c r="C431" s="234">
        <v>97.730263000000008</v>
      </c>
      <c r="D431" s="235">
        <v>138.63663340514475</v>
      </c>
      <c r="E431" s="234">
        <f t="shared" si="28"/>
        <v>97.730263000000008</v>
      </c>
      <c r="F431" s="239"/>
      <c r="G431" s="188" t="str">
        <f t="shared" si="25"/>
        <v/>
      </c>
      <c r="H431" s="236" t="str">
        <f t="shared" si="26"/>
        <v/>
      </c>
      <c r="I431" s="237"/>
    </row>
    <row r="432" spans="1:9">
      <c r="A432" s="232">
        <f t="shared" si="27"/>
        <v>430</v>
      </c>
      <c r="B432" s="233">
        <v>45874</v>
      </c>
      <c r="C432" s="234">
        <v>178.307954</v>
      </c>
      <c r="D432" s="235">
        <v>138.63663340514475</v>
      </c>
      <c r="E432" s="234">
        <f t="shared" si="28"/>
        <v>138.63663340514475</v>
      </c>
      <c r="F432" s="239"/>
      <c r="G432" s="188" t="str">
        <f t="shared" si="25"/>
        <v/>
      </c>
      <c r="H432" s="236" t="str">
        <f t="shared" si="26"/>
        <v/>
      </c>
      <c r="I432" s="237"/>
    </row>
    <row r="433" spans="1:9">
      <c r="A433" s="232">
        <f t="shared" si="27"/>
        <v>431</v>
      </c>
      <c r="B433" s="233">
        <v>45875</v>
      </c>
      <c r="C433" s="234">
        <v>108.75238</v>
      </c>
      <c r="D433" s="235">
        <v>138.63663340514475</v>
      </c>
      <c r="E433" s="234">
        <f t="shared" si="28"/>
        <v>108.75238</v>
      </c>
      <c r="F433" s="239"/>
      <c r="G433" s="188" t="str">
        <f t="shared" si="25"/>
        <v/>
      </c>
      <c r="H433" s="236" t="str">
        <f t="shared" si="26"/>
        <v/>
      </c>
      <c r="I433" s="237"/>
    </row>
    <row r="434" spans="1:9">
      <c r="A434" s="232">
        <f t="shared" si="27"/>
        <v>432</v>
      </c>
      <c r="B434" s="233">
        <v>45876</v>
      </c>
      <c r="C434" s="234">
        <v>60.090370999999998</v>
      </c>
      <c r="D434" s="235">
        <v>138.63663340514475</v>
      </c>
      <c r="E434" s="234">
        <f t="shared" si="28"/>
        <v>60.090370999999998</v>
      </c>
      <c r="F434" s="239"/>
      <c r="G434" s="188" t="str">
        <f t="shared" si="25"/>
        <v/>
      </c>
      <c r="H434" s="236" t="str">
        <f t="shared" si="26"/>
        <v/>
      </c>
      <c r="I434" s="237"/>
    </row>
    <row r="435" spans="1:9">
      <c r="A435" s="232">
        <f t="shared" si="27"/>
        <v>433</v>
      </c>
      <c r="B435" s="233">
        <v>45877</v>
      </c>
      <c r="C435" s="234">
        <v>94.427125000000004</v>
      </c>
      <c r="D435" s="235">
        <v>138.63663340514475</v>
      </c>
      <c r="E435" s="234">
        <f t="shared" si="28"/>
        <v>94.427125000000004</v>
      </c>
      <c r="F435" s="239"/>
      <c r="G435" s="188" t="str">
        <f t="shared" si="25"/>
        <v/>
      </c>
      <c r="H435" s="236" t="str">
        <f t="shared" si="26"/>
        <v/>
      </c>
      <c r="I435" s="237"/>
    </row>
    <row r="436" spans="1:9">
      <c r="A436" s="232">
        <f t="shared" si="27"/>
        <v>434</v>
      </c>
      <c r="B436" s="233">
        <v>45878</v>
      </c>
      <c r="C436" s="234">
        <v>101.09446399999999</v>
      </c>
      <c r="D436" s="235">
        <v>138.63663340514475</v>
      </c>
      <c r="E436" s="234">
        <f t="shared" si="28"/>
        <v>101.09446399999999</v>
      </c>
      <c r="F436" s="239"/>
      <c r="G436" s="188" t="str">
        <f t="shared" si="25"/>
        <v/>
      </c>
      <c r="H436" s="236" t="str">
        <f t="shared" si="26"/>
        <v/>
      </c>
      <c r="I436" s="237"/>
    </row>
    <row r="437" spans="1:9">
      <c r="A437" s="232">
        <f t="shared" si="27"/>
        <v>435</v>
      </c>
      <c r="B437" s="233">
        <v>45879</v>
      </c>
      <c r="C437" s="234">
        <v>103.19056999999999</v>
      </c>
      <c r="D437" s="235">
        <v>138.63663340514475</v>
      </c>
      <c r="E437" s="234">
        <f t="shared" si="28"/>
        <v>103.19056999999999</v>
      </c>
      <c r="F437" s="239"/>
      <c r="G437" s="188" t="str">
        <f t="shared" si="25"/>
        <v/>
      </c>
      <c r="H437" s="236" t="str">
        <f t="shared" si="26"/>
        <v/>
      </c>
      <c r="I437" s="237"/>
    </row>
    <row r="438" spans="1:9">
      <c r="A438" s="232">
        <f t="shared" si="27"/>
        <v>436</v>
      </c>
      <c r="B438" s="233">
        <v>45880</v>
      </c>
      <c r="C438" s="234">
        <v>77.417433000000003</v>
      </c>
      <c r="D438" s="235">
        <v>138.63663340514475</v>
      </c>
      <c r="E438" s="234">
        <f t="shared" si="28"/>
        <v>77.417433000000003</v>
      </c>
      <c r="F438" s="239"/>
      <c r="G438" s="188" t="str">
        <f t="shared" si="25"/>
        <v/>
      </c>
      <c r="H438" s="236" t="str">
        <f t="shared" si="26"/>
        <v/>
      </c>
      <c r="I438" s="237"/>
    </row>
    <row r="439" spans="1:9">
      <c r="A439" s="232">
        <f t="shared" si="27"/>
        <v>437</v>
      </c>
      <c r="B439" s="233">
        <v>45881</v>
      </c>
      <c r="C439" s="234">
        <v>98.605398000000008</v>
      </c>
      <c r="D439" s="235">
        <v>138.63663340514475</v>
      </c>
      <c r="E439" s="234">
        <f t="shared" si="28"/>
        <v>98.605398000000008</v>
      </c>
      <c r="F439" s="239"/>
      <c r="G439" s="188" t="str">
        <f t="shared" si="25"/>
        <v/>
      </c>
      <c r="H439" s="236" t="str">
        <f t="shared" si="26"/>
        <v/>
      </c>
      <c r="I439" s="237"/>
    </row>
    <row r="440" spans="1:9">
      <c r="A440" s="232">
        <f t="shared" si="27"/>
        <v>438</v>
      </c>
      <c r="B440" s="233">
        <v>45882</v>
      </c>
      <c r="C440" s="234">
        <v>91.687049000000016</v>
      </c>
      <c r="D440" s="235">
        <v>138.63663340514475</v>
      </c>
      <c r="E440" s="234">
        <f t="shared" si="28"/>
        <v>91.687049000000016</v>
      </c>
      <c r="F440" s="239"/>
      <c r="G440" s="188" t="str">
        <f t="shared" si="25"/>
        <v/>
      </c>
      <c r="H440" s="236" t="str">
        <f t="shared" si="26"/>
        <v/>
      </c>
      <c r="I440" s="237"/>
    </row>
    <row r="441" spans="1:9">
      <c r="A441" s="232">
        <f t="shared" si="27"/>
        <v>439</v>
      </c>
      <c r="B441" s="233">
        <v>45883</v>
      </c>
      <c r="C441" s="234">
        <v>103.45359300000001</v>
      </c>
      <c r="D441" s="235">
        <v>138.63663340514475</v>
      </c>
      <c r="E441" s="234">
        <f t="shared" si="28"/>
        <v>103.45359300000001</v>
      </c>
      <c r="F441" s="239"/>
      <c r="G441" s="188" t="str">
        <f t="shared" si="25"/>
        <v/>
      </c>
      <c r="H441" s="236" t="str">
        <f t="shared" si="26"/>
        <v/>
      </c>
      <c r="I441" s="237"/>
    </row>
    <row r="442" spans="1:9">
      <c r="A442" s="232">
        <f t="shared" si="27"/>
        <v>440</v>
      </c>
      <c r="B442" s="233">
        <v>45884</v>
      </c>
      <c r="C442" s="234">
        <v>91.752726999999993</v>
      </c>
      <c r="D442" s="235">
        <v>138.63663340514475</v>
      </c>
      <c r="E442" s="234">
        <f t="shared" si="28"/>
        <v>91.752726999999993</v>
      </c>
      <c r="F442" s="239"/>
      <c r="G442" s="188" t="str">
        <f t="shared" si="25"/>
        <v>A</v>
      </c>
      <c r="H442" s="236" t="str">
        <f t="shared" si="26"/>
        <v>138,6</v>
      </c>
      <c r="I442" s="237"/>
    </row>
    <row r="443" spans="1:9">
      <c r="A443" s="232">
        <f t="shared" si="27"/>
        <v>441</v>
      </c>
      <c r="B443" s="233">
        <v>45885</v>
      </c>
      <c r="C443" s="234">
        <v>48.036050000000003</v>
      </c>
      <c r="D443" s="235">
        <v>138.63663340514475</v>
      </c>
      <c r="E443" s="234">
        <f t="shared" si="28"/>
        <v>48.036050000000003</v>
      </c>
      <c r="F443" s="239"/>
      <c r="G443" s="188" t="str">
        <f t="shared" si="25"/>
        <v/>
      </c>
      <c r="H443" s="236" t="str">
        <f t="shared" si="26"/>
        <v/>
      </c>
      <c r="I443" s="237"/>
    </row>
    <row r="444" spans="1:9">
      <c r="A444" s="232">
        <f t="shared" si="27"/>
        <v>442</v>
      </c>
      <c r="B444" s="233">
        <v>45886</v>
      </c>
      <c r="C444" s="234">
        <v>51.263207999999999</v>
      </c>
      <c r="D444" s="235">
        <v>138.63663340514475</v>
      </c>
      <c r="E444" s="234">
        <f t="shared" si="28"/>
        <v>51.263207999999999</v>
      </c>
      <c r="F444" s="239"/>
      <c r="G444" s="188" t="str">
        <f t="shared" si="25"/>
        <v/>
      </c>
      <c r="H444" s="236" t="str">
        <f t="shared" si="26"/>
        <v/>
      </c>
      <c r="I444" s="237"/>
    </row>
    <row r="445" spans="1:9">
      <c r="A445" s="232">
        <f t="shared" si="27"/>
        <v>443</v>
      </c>
      <c r="B445" s="233">
        <v>45887</v>
      </c>
      <c r="C445" s="234">
        <v>108.67077099999999</v>
      </c>
      <c r="D445" s="235">
        <v>138.63663340514475</v>
      </c>
      <c r="E445" s="234">
        <f t="shared" si="28"/>
        <v>108.67077099999999</v>
      </c>
      <c r="F445" s="239"/>
      <c r="G445" s="188" t="str">
        <f t="shared" si="25"/>
        <v/>
      </c>
      <c r="H445" s="236" t="str">
        <f t="shared" si="26"/>
        <v/>
      </c>
      <c r="I445" s="237"/>
    </row>
    <row r="446" spans="1:9">
      <c r="A446" s="232">
        <f t="shared" si="27"/>
        <v>444</v>
      </c>
      <c r="B446" s="233">
        <v>45888</v>
      </c>
      <c r="C446" s="234">
        <v>148.78780500000002</v>
      </c>
      <c r="D446" s="235">
        <v>138.63663340514475</v>
      </c>
      <c r="E446" s="234">
        <f t="shared" si="28"/>
        <v>138.63663340514475</v>
      </c>
      <c r="F446" s="239"/>
      <c r="G446" s="188" t="str">
        <f t="shared" si="25"/>
        <v/>
      </c>
      <c r="H446" s="236" t="str">
        <f t="shared" si="26"/>
        <v/>
      </c>
      <c r="I446" s="237"/>
    </row>
    <row r="447" spans="1:9">
      <c r="A447" s="232">
        <f t="shared" si="27"/>
        <v>445</v>
      </c>
      <c r="B447" s="233">
        <v>45889</v>
      </c>
      <c r="C447" s="234">
        <v>175.13356200000001</v>
      </c>
      <c r="D447" s="235">
        <v>138.63663340514475</v>
      </c>
      <c r="E447" s="234">
        <f t="shared" si="28"/>
        <v>138.63663340514475</v>
      </c>
      <c r="F447" s="239"/>
      <c r="G447" s="188" t="str">
        <f t="shared" si="25"/>
        <v/>
      </c>
      <c r="H447" s="236" t="str">
        <f t="shared" si="26"/>
        <v/>
      </c>
      <c r="I447" s="237"/>
    </row>
    <row r="448" spans="1:9">
      <c r="A448" s="232">
        <f t="shared" si="27"/>
        <v>446</v>
      </c>
      <c r="B448" s="233">
        <v>45890</v>
      </c>
      <c r="C448" s="234">
        <v>161.55274800000001</v>
      </c>
      <c r="D448" s="235">
        <v>138.63663340514475</v>
      </c>
      <c r="E448" s="234">
        <f t="shared" si="28"/>
        <v>138.63663340514475</v>
      </c>
      <c r="F448" s="239"/>
      <c r="G448" s="188" t="str">
        <f t="shared" si="25"/>
        <v/>
      </c>
      <c r="H448" s="236" t="str">
        <f t="shared" si="26"/>
        <v/>
      </c>
      <c r="I448" s="237"/>
    </row>
    <row r="449" spans="1:9">
      <c r="A449" s="232">
        <f t="shared" si="27"/>
        <v>447</v>
      </c>
      <c r="B449" s="233">
        <v>45891</v>
      </c>
      <c r="C449" s="234">
        <v>161.18534</v>
      </c>
      <c r="D449" s="235">
        <v>138.63663340514475</v>
      </c>
      <c r="E449" s="234">
        <f t="shared" si="28"/>
        <v>138.63663340514475</v>
      </c>
      <c r="F449" s="239"/>
      <c r="G449" s="188" t="str">
        <f t="shared" si="25"/>
        <v/>
      </c>
      <c r="H449" s="236" t="str">
        <f t="shared" si="26"/>
        <v/>
      </c>
      <c r="I449" s="237"/>
    </row>
    <row r="450" spans="1:9">
      <c r="A450" s="232">
        <f t="shared" si="27"/>
        <v>448</v>
      </c>
      <c r="B450" s="233">
        <v>45892</v>
      </c>
      <c r="C450" s="234">
        <v>71.031289999999998</v>
      </c>
      <c r="D450" s="235">
        <v>138.63663340514475</v>
      </c>
      <c r="E450" s="234">
        <f t="shared" si="28"/>
        <v>71.031289999999998</v>
      </c>
      <c r="F450" s="239"/>
      <c r="G450" s="188" t="str">
        <f t="shared" si="25"/>
        <v/>
      </c>
      <c r="H450" s="236" t="str">
        <f t="shared" si="26"/>
        <v/>
      </c>
      <c r="I450" s="237"/>
    </row>
    <row r="451" spans="1:9">
      <c r="A451" s="232">
        <f t="shared" si="27"/>
        <v>449</v>
      </c>
      <c r="B451" s="233">
        <v>45893</v>
      </c>
      <c r="C451" s="234">
        <v>46.669957000000004</v>
      </c>
      <c r="D451" s="235">
        <v>138.63663340514475</v>
      </c>
      <c r="E451" s="234">
        <f t="shared" si="28"/>
        <v>46.669957000000004</v>
      </c>
      <c r="F451" s="239"/>
      <c r="G451" s="188" t="str">
        <f t="shared" ref="G451:G514" si="29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s="236" t="str">
        <f t="shared" ref="H451:H514" si="30">IF(DAY($B451)=15,TEXT(D451,"#,0"),"")</f>
        <v/>
      </c>
      <c r="I451" s="237"/>
    </row>
    <row r="452" spans="1:9">
      <c r="A452" s="232">
        <f t="shared" ref="A452:A515" si="31">+A451+1</f>
        <v>450</v>
      </c>
      <c r="B452" s="233">
        <v>45894</v>
      </c>
      <c r="C452" s="234">
        <v>86.105929000000003</v>
      </c>
      <c r="D452" s="235">
        <v>138.63663340514475</v>
      </c>
      <c r="E452" s="234">
        <f t="shared" si="28"/>
        <v>86.105929000000003</v>
      </c>
      <c r="F452" s="239"/>
      <c r="G452" s="188" t="str">
        <f t="shared" si="29"/>
        <v/>
      </c>
      <c r="H452" s="236" t="str">
        <f t="shared" si="30"/>
        <v/>
      </c>
      <c r="I452" s="237"/>
    </row>
    <row r="453" spans="1:9">
      <c r="A453" s="232">
        <f t="shared" si="31"/>
        <v>451</v>
      </c>
      <c r="B453" s="233">
        <v>45895</v>
      </c>
      <c r="C453" s="234">
        <v>81.305091000000004</v>
      </c>
      <c r="D453" s="235">
        <v>138.63663340514475</v>
      </c>
      <c r="E453" s="234">
        <f t="shared" si="28"/>
        <v>81.305091000000004</v>
      </c>
      <c r="F453" s="239"/>
      <c r="G453" s="188" t="str">
        <f t="shared" si="29"/>
        <v/>
      </c>
      <c r="H453" s="236" t="str">
        <f t="shared" si="30"/>
        <v/>
      </c>
      <c r="I453" s="237"/>
    </row>
    <row r="454" spans="1:9">
      <c r="A454" s="232">
        <f t="shared" si="31"/>
        <v>452</v>
      </c>
      <c r="B454" s="233">
        <v>45896</v>
      </c>
      <c r="C454" s="234">
        <v>98.92193300000001</v>
      </c>
      <c r="D454" s="235">
        <v>138.63663340514475</v>
      </c>
      <c r="E454" s="234">
        <f t="shared" si="28"/>
        <v>98.92193300000001</v>
      </c>
      <c r="F454" s="239"/>
      <c r="G454" s="188" t="str">
        <f t="shared" si="29"/>
        <v/>
      </c>
      <c r="H454" s="236" t="str">
        <f t="shared" si="30"/>
        <v/>
      </c>
      <c r="I454" s="237"/>
    </row>
    <row r="455" spans="1:9">
      <c r="A455" s="232">
        <f t="shared" si="31"/>
        <v>453</v>
      </c>
      <c r="B455" s="233">
        <v>45897</v>
      </c>
      <c r="C455" s="234">
        <v>189.689168</v>
      </c>
      <c r="D455" s="235">
        <v>138.63663340514475</v>
      </c>
      <c r="E455" s="234">
        <f t="shared" ref="E455:E518" si="32">IF(C455&gt;D455,D455,C455)</f>
        <v>138.63663340514475</v>
      </c>
      <c r="F455" s="239"/>
      <c r="G455" s="188" t="str">
        <f t="shared" si="29"/>
        <v/>
      </c>
      <c r="H455" s="236" t="str">
        <f t="shared" si="30"/>
        <v/>
      </c>
      <c r="I455" s="237"/>
    </row>
    <row r="456" spans="1:9">
      <c r="A456" s="232">
        <f t="shared" si="31"/>
        <v>454</v>
      </c>
      <c r="B456" s="233">
        <v>45898</v>
      </c>
      <c r="C456" s="234">
        <v>185.77085300000002</v>
      </c>
      <c r="D456" s="235">
        <v>138.63663340514475</v>
      </c>
      <c r="E456" s="234">
        <f t="shared" si="32"/>
        <v>138.63663340514475</v>
      </c>
      <c r="F456" s="239"/>
      <c r="G456" s="188" t="str">
        <f t="shared" si="29"/>
        <v/>
      </c>
      <c r="H456" s="236" t="str">
        <f t="shared" si="30"/>
        <v/>
      </c>
      <c r="I456" s="237"/>
    </row>
    <row r="457" spans="1:9">
      <c r="A457" s="232">
        <f t="shared" si="31"/>
        <v>455</v>
      </c>
      <c r="B457" s="233">
        <v>45899</v>
      </c>
      <c r="C457" s="234">
        <v>114.512218</v>
      </c>
      <c r="D457" s="235">
        <v>138.63663340514475</v>
      </c>
      <c r="E457" s="234">
        <f t="shared" si="32"/>
        <v>114.512218</v>
      </c>
      <c r="F457" s="239"/>
      <c r="G457" s="188" t="str">
        <f t="shared" si="29"/>
        <v/>
      </c>
      <c r="H457" s="236" t="str">
        <f t="shared" si="30"/>
        <v/>
      </c>
      <c r="I457" s="237"/>
    </row>
    <row r="458" spans="1:9">
      <c r="A458" s="232">
        <f t="shared" si="31"/>
        <v>456</v>
      </c>
      <c r="B458" s="233">
        <v>45900</v>
      </c>
      <c r="C458" s="234">
        <v>152.10097500000001</v>
      </c>
      <c r="D458" s="235">
        <v>138.63663340514475</v>
      </c>
      <c r="E458" s="234">
        <f t="shared" si="32"/>
        <v>138.63663340514475</v>
      </c>
      <c r="F458" s="239"/>
      <c r="G458" s="188" t="str">
        <f t="shared" si="29"/>
        <v/>
      </c>
      <c r="H458" s="236" t="str">
        <f t="shared" si="30"/>
        <v/>
      </c>
      <c r="I458" s="237"/>
    </row>
    <row r="459" spans="1:9">
      <c r="A459" s="232">
        <f t="shared" si="31"/>
        <v>457</v>
      </c>
      <c r="B459" s="233">
        <v>45901</v>
      </c>
      <c r="C459" s="234">
        <v>192.30293400000002</v>
      </c>
      <c r="D459" s="235">
        <v>136.80785408336422</v>
      </c>
      <c r="E459" s="234">
        <f t="shared" si="32"/>
        <v>136.80785408336422</v>
      </c>
      <c r="F459" s="237"/>
      <c r="G459" s="188" t="str">
        <f t="shared" si="29"/>
        <v/>
      </c>
      <c r="H459" s="236" t="str">
        <f t="shared" si="30"/>
        <v/>
      </c>
      <c r="I459" s="237"/>
    </row>
    <row r="460" spans="1:9">
      <c r="A460" s="232">
        <f t="shared" si="31"/>
        <v>458</v>
      </c>
      <c r="B460" s="233">
        <v>45902</v>
      </c>
      <c r="C460" s="234">
        <v>134.19980600000002</v>
      </c>
      <c r="D460" s="235">
        <v>136.80785408336422</v>
      </c>
      <c r="E460" s="234">
        <f t="shared" si="32"/>
        <v>134.19980600000002</v>
      </c>
      <c r="F460" s="237"/>
      <c r="G460" s="188" t="str">
        <f t="shared" si="29"/>
        <v/>
      </c>
      <c r="H460" s="236" t="str">
        <f t="shared" si="30"/>
        <v/>
      </c>
      <c r="I460" s="237"/>
    </row>
    <row r="461" spans="1:9">
      <c r="A461" s="232">
        <f t="shared" si="31"/>
        <v>459</v>
      </c>
      <c r="B461" s="233">
        <v>45903</v>
      </c>
      <c r="C461" s="234">
        <v>128.86664499999998</v>
      </c>
      <c r="D461" s="235">
        <v>136.80785408336422</v>
      </c>
      <c r="E461" s="234">
        <f t="shared" si="32"/>
        <v>128.86664499999998</v>
      </c>
      <c r="F461" s="239"/>
      <c r="G461" s="188" t="str">
        <f t="shared" si="29"/>
        <v/>
      </c>
      <c r="H461" s="236" t="str">
        <f t="shared" si="30"/>
        <v/>
      </c>
      <c r="I461" s="237"/>
    </row>
    <row r="462" spans="1:9">
      <c r="A462" s="232">
        <f t="shared" si="31"/>
        <v>460</v>
      </c>
      <c r="B462" s="233">
        <v>45904</v>
      </c>
      <c r="C462" s="234">
        <v>117.52628900000001</v>
      </c>
      <c r="D462" s="235">
        <v>136.80785408336422</v>
      </c>
      <c r="E462" s="234">
        <f t="shared" si="32"/>
        <v>117.52628900000001</v>
      </c>
      <c r="F462" s="239"/>
      <c r="G462" s="188" t="str">
        <f t="shared" si="29"/>
        <v/>
      </c>
      <c r="H462" s="236" t="str">
        <f t="shared" si="30"/>
        <v/>
      </c>
      <c r="I462" s="237"/>
    </row>
    <row r="463" spans="1:9">
      <c r="A463" s="232">
        <f t="shared" si="31"/>
        <v>461</v>
      </c>
      <c r="B463" s="233">
        <v>45905</v>
      </c>
      <c r="C463" s="234">
        <v>170.60667599999996</v>
      </c>
      <c r="D463" s="235">
        <v>136.80785408336422</v>
      </c>
      <c r="E463" s="234">
        <f t="shared" si="32"/>
        <v>136.80785408336422</v>
      </c>
      <c r="F463" s="239"/>
      <c r="G463" s="188" t="str">
        <f t="shared" si="29"/>
        <v/>
      </c>
      <c r="H463" s="236" t="str">
        <f t="shared" si="30"/>
        <v/>
      </c>
      <c r="I463" s="237"/>
    </row>
    <row r="464" spans="1:9">
      <c r="A464" s="232">
        <f t="shared" si="31"/>
        <v>462</v>
      </c>
      <c r="B464" s="233">
        <v>45906</v>
      </c>
      <c r="C464" s="234">
        <v>215.90198000000001</v>
      </c>
      <c r="D464" s="235">
        <v>136.80785408336422</v>
      </c>
      <c r="E464" s="234">
        <f t="shared" si="32"/>
        <v>136.80785408336422</v>
      </c>
      <c r="F464" s="239"/>
      <c r="G464" s="188" t="str">
        <f t="shared" si="29"/>
        <v/>
      </c>
      <c r="H464" s="236" t="str">
        <f t="shared" si="30"/>
        <v/>
      </c>
      <c r="I464" s="237"/>
    </row>
    <row r="465" spans="1:9">
      <c r="A465" s="232">
        <f t="shared" si="31"/>
        <v>463</v>
      </c>
      <c r="B465" s="233">
        <v>45907</v>
      </c>
      <c r="C465" s="234">
        <v>157.30934100000002</v>
      </c>
      <c r="D465" s="235">
        <v>136.80785408336422</v>
      </c>
      <c r="E465" s="234">
        <f t="shared" si="32"/>
        <v>136.80785408336422</v>
      </c>
      <c r="F465" s="239"/>
      <c r="G465" s="188" t="str">
        <f t="shared" si="29"/>
        <v/>
      </c>
      <c r="H465" s="236" t="str">
        <f t="shared" si="30"/>
        <v/>
      </c>
      <c r="I465" s="237"/>
    </row>
    <row r="466" spans="1:9">
      <c r="A466" s="232">
        <f t="shared" si="31"/>
        <v>464</v>
      </c>
      <c r="B466" s="233">
        <v>45908</v>
      </c>
      <c r="C466" s="234">
        <v>137.50514000000001</v>
      </c>
      <c r="D466" s="235">
        <v>136.80785408336422</v>
      </c>
      <c r="E466" s="234">
        <f t="shared" si="32"/>
        <v>136.80785408336422</v>
      </c>
      <c r="F466" s="239"/>
      <c r="G466" s="188" t="str">
        <f t="shared" si="29"/>
        <v/>
      </c>
      <c r="H466" s="236" t="str">
        <f t="shared" si="30"/>
        <v/>
      </c>
      <c r="I466" s="237"/>
    </row>
    <row r="467" spans="1:9">
      <c r="A467" s="232">
        <f t="shared" si="31"/>
        <v>465</v>
      </c>
      <c r="B467" s="233">
        <v>45909</v>
      </c>
      <c r="C467" s="234">
        <v>140.04967600000001</v>
      </c>
      <c r="D467" s="235">
        <v>136.80785408336422</v>
      </c>
      <c r="E467" s="234">
        <f t="shared" si="32"/>
        <v>136.80785408336422</v>
      </c>
      <c r="F467" s="239"/>
      <c r="G467" s="188" t="str">
        <f t="shared" si="29"/>
        <v/>
      </c>
      <c r="H467" s="236" t="str">
        <f t="shared" si="30"/>
        <v/>
      </c>
      <c r="I467" s="237"/>
    </row>
    <row r="468" spans="1:9">
      <c r="A468" s="232">
        <f t="shared" si="31"/>
        <v>466</v>
      </c>
      <c r="B468" s="233">
        <v>45910</v>
      </c>
      <c r="C468" s="234">
        <v>204.91856099999998</v>
      </c>
      <c r="D468" s="235">
        <v>136.80785408336422</v>
      </c>
      <c r="E468" s="234">
        <f t="shared" si="32"/>
        <v>136.80785408336422</v>
      </c>
      <c r="F468" s="239"/>
      <c r="G468" s="188" t="str">
        <f t="shared" si="29"/>
        <v/>
      </c>
      <c r="H468" s="236" t="str">
        <f t="shared" si="30"/>
        <v/>
      </c>
      <c r="I468" s="237"/>
    </row>
    <row r="469" spans="1:9">
      <c r="A469" s="232">
        <f t="shared" si="31"/>
        <v>467</v>
      </c>
      <c r="B469" s="233">
        <v>45911</v>
      </c>
      <c r="C469" s="234">
        <v>145.292249</v>
      </c>
      <c r="D469" s="235">
        <v>136.80785408336422</v>
      </c>
      <c r="E469" s="234">
        <f t="shared" si="32"/>
        <v>136.80785408336422</v>
      </c>
      <c r="F469" s="239"/>
      <c r="G469" s="188" t="str">
        <f t="shared" si="29"/>
        <v/>
      </c>
      <c r="H469" s="236" t="str">
        <f t="shared" si="30"/>
        <v/>
      </c>
      <c r="I469" s="237"/>
    </row>
    <row r="470" spans="1:9">
      <c r="A470" s="232">
        <f t="shared" si="31"/>
        <v>468</v>
      </c>
      <c r="B470" s="233">
        <v>45912</v>
      </c>
      <c r="C470" s="234">
        <v>74.595826000000002</v>
      </c>
      <c r="D470" s="235">
        <v>136.80785408336422</v>
      </c>
      <c r="E470" s="234">
        <f t="shared" si="32"/>
        <v>74.595826000000002</v>
      </c>
      <c r="F470" s="239"/>
      <c r="G470" s="188" t="str">
        <f t="shared" si="29"/>
        <v/>
      </c>
      <c r="H470" s="236" t="str">
        <f t="shared" si="30"/>
        <v/>
      </c>
      <c r="I470" s="237"/>
    </row>
    <row r="471" spans="1:9">
      <c r="A471" s="232">
        <f t="shared" si="31"/>
        <v>469</v>
      </c>
      <c r="B471" s="233">
        <v>45913</v>
      </c>
      <c r="C471" s="234">
        <v>78.096400000000003</v>
      </c>
      <c r="D471" s="235">
        <v>136.80785408336422</v>
      </c>
      <c r="E471" s="234">
        <f t="shared" si="32"/>
        <v>78.096400000000003</v>
      </c>
      <c r="F471" s="239"/>
      <c r="G471" s="188" t="str">
        <f t="shared" si="29"/>
        <v/>
      </c>
      <c r="H471" s="236" t="str">
        <f t="shared" si="30"/>
        <v/>
      </c>
      <c r="I471" s="237"/>
    </row>
    <row r="472" spans="1:9">
      <c r="A472" s="232">
        <f t="shared" si="31"/>
        <v>470</v>
      </c>
      <c r="B472" s="233">
        <v>45914</v>
      </c>
      <c r="C472" s="234">
        <v>79.493895999999992</v>
      </c>
      <c r="D472" s="235">
        <v>136.80785408336422</v>
      </c>
      <c r="E472" s="234">
        <f t="shared" si="32"/>
        <v>79.493895999999992</v>
      </c>
      <c r="F472" s="239"/>
      <c r="G472" s="188" t="str">
        <f t="shared" si="29"/>
        <v/>
      </c>
      <c r="H472" s="236" t="str">
        <f t="shared" si="30"/>
        <v/>
      </c>
      <c r="I472" s="237"/>
    </row>
    <row r="473" spans="1:9">
      <c r="A473" s="232">
        <f t="shared" si="31"/>
        <v>471</v>
      </c>
      <c r="B473" s="233">
        <v>45915</v>
      </c>
      <c r="C473" s="234">
        <v>94.060361999999998</v>
      </c>
      <c r="D473" s="235">
        <v>136.80785408336422</v>
      </c>
      <c r="E473" s="234">
        <f t="shared" si="32"/>
        <v>94.060361999999998</v>
      </c>
      <c r="F473" s="239"/>
      <c r="G473" s="188" t="str">
        <f t="shared" si="29"/>
        <v>S</v>
      </c>
      <c r="H473" s="236" t="str">
        <f t="shared" si="30"/>
        <v>136,8</v>
      </c>
      <c r="I473" s="237"/>
    </row>
    <row r="474" spans="1:9">
      <c r="A474" s="232">
        <f t="shared" si="31"/>
        <v>472</v>
      </c>
      <c r="B474" s="233">
        <v>45916</v>
      </c>
      <c r="C474" s="234">
        <v>97.814695</v>
      </c>
      <c r="D474" s="235">
        <v>136.80785408336422</v>
      </c>
      <c r="E474" s="234">
        <f t="shared" si="32"/>
        <v>97.814695</v>
      </c>
      <c r="F474" s="239"/>
      <c r="G474" s="188" t="str">
        <f t="shared" si="29"/>
        <v/>
      </c>
      <c r="H474" s="236" t="str">
        <f t="shared" si="30"/>
        <v/>
      </c>
      <c r="I474" s="237"/>
    </row>
    <row r="475" spans="1:9">
      <c r="A475" s="232">
        <f t="shared" si="31"/>
        <v>473</v>
      </c>
      <c r="B475" s="233">
        <v>45917</v>
      </c>
      <c r="C475" s="234">
        <v>48.407660000000007</v>
      </c>
      <c r="D475" s="235">
        <v>136.80785408336422</v>
      </c>
      <c r="E475" s="234">
        <f t="shared" si="32"/>
        <v>48.407660000000007</v>
      </c>
      <c r="F475" s="239"/>
      <c r="G475" s="188" t="str">
        <f t="shared" si="29"/>
        <v/>
      </c>
      <c r="H475" s="236" t="str">
        <f t="shared" si="30"/>
        <v/>
      </c>
      <c r="I475" s="237"/>
    </row>
    <row r="476" spans="1:9">
      <c r="A476" s="232">
        <f t="shared" si="31"/>
        <v>474</v>
      </c>
      <c r="B476" s="233">
        <v>45918</v>
      </c>
      <c r="C476" s="234">
        <v>82.972586000000007</v>
      </c>
      <c r="D476" s="235">
        <v>136.80785408336422</v>
      </c>
      <c r="E476" s="234">
        <f t="shared" si="32"/>
        <v>82.972586000000007</v>
      </c>
      <c r="F476" s="239"/>
      <c r="G476" s="188" t="str">
        <f t="shared" si="29"/>
        <v/>
      </c>
      <c r="H476" s="236" t="str">
        <f t="shared" si="30"/>
        <v/>
      </c>
      <c r="I476" s="237"/>
    </row>
    <row r="477" spans="1:9">
      <c r="A477" s="232">
        <f t="shared" si="31"/>
        <v>475</v>
      </c>
      <c r="B477" s="233">
        <v>45919</v>
      </c>
      <c r="C477" s="234">
        <v>160.474592</v>
      </c>
      <c r="D477" s="235">
        <v>136.80785408336422</v>
      </c>
      <c r="E477" s="234">
        <f t="shared" si="32"/>
        <v>136.80785408336422</v>
      </c>
      <c r="F477" s="239"/>
      <c r="G477" s="188" t="str">
        <f t="shared" si="29"/>
        <v/>
      </c>
      <c r="H477" s="236" t="str">
        <f t="shared" si="30"/>
        <v/>
      </c>
      <c r="I477" s="237"/>
    </row>
    <row r="478" spans="1:9">
      <c r="A478" s="232">
        <f t="shared" si="31"/>
        <v>476</v>
      </c>
      <c r="B478" s="233">
        <v>45920</v>
      </c>
      <c r="C478" s="234">
        <v>150.69888</v>
      </c>
      <c r="D478" s="235">
        <v>136.80785408336422</v>
      </c>
      <c r="E478" s="234">
        <f t="shared" si="32"/>
        <v>136.80785408336422</v>
      </c>
      <c r="F478" s="239"/>
      <c r="G478" s="188" t="str">
        <f t="shared" si="29"/>
        <v/>
      </c>
      <c r="H478" s="236" t="str">
        <f t="shared" si="30"/>
        <v/>
      </c>
      <c r="I478" s="237"/>
    </row>
    <row r="479" spans="1:9">
      <c r="A479" s="232">
        <f t="shared" si="31"/>
        <v>477</v>
      </c>
      <c r="B479" s="233">
        <v>45921</v>
      </c>
      <c r="C479" s="234">
        <v>166.83264299999999</v>
      </c>
      <c r="D479" s="235">
        <v>136.80785408336422</v>
      </c>
      <c r="E479" s="234">
        <f t="shared" si="32"/>
        <v>136.80785408336422</v>
      </c>
      <c r="F479" s="239"/>
      <c r="G479" s="188" t="str">
        <f t="shared" si="29"/>
        <v/>
      </c>
      <c r="H479" s="236" t="str">
        <f t="shared" si="30"/>
        <v/>
      </c>
      <c r="I479" s="237"/>
    </row>
    <row r="480" spans="1:9">
      <c r="A480" s="232">
        <f t="shared" si="31"/>
        <v>478</v>
      </c>
      <c r="B480" s="233">
        <v>45922</v>
      </c>
      <c r="C480" s="234">
        <v>166.98727400000001</v>
      </c>
      <c r="D480" s="235">
        <v>136.80785408336422</v>
      </c>
      <c r="E480" s="234">
        <f t="shared" si="32"/>
        <v>136.80785408336422</v>
      </c>
      <c r="F480" s="239"/>
      <c r="G480" s="188" t="str">
        <f t="shared" si="29"/>
        <v/>
      </c>
      <c r="H480" s="236" t="str">
        <f t="shared" si="30"/>
        <v/>
      </c>
      <c r="I480" s="237"/>
    </row>
    <row r="481" spans="1:9">
      <c r="A481" s="232">
        <f t="shared" si="31"/>
        <v>479</v>
      </c>
      <c r="B481" s="233">
        <v>45923</v>
      </c>
      <c r="C481" s="234">
        <v>186.13974999999999</v>
      </c>
      <c r="D481" s="235">
        <v>136.80785408336422</v>
      </c>
      <c r="E481" s="234">
        <f t="shared" si="32"/>
        <v>136.80785408336422</v>
      </c>
      <c r="F481" s="239"/>
      <c r="G481" s="188" t="str">
        <f t="shared" si="29"/>
        <v/>
      </c>
      <c r="H481" s="236" t="str">
        <f t="shared" si="30"/>
        <v/>
      </c>
      <c r="I481" s="237"/>
    </row>
    <row r="482" spans="1:9">
      <c r="A482" s="232">
        <f t="shared" si="31"/>
        <v>480</v>
      </c>
      <c r="B482" s="233">
        <v>45924</v>
      </c>
      <c r="C482" s="234">
        <v>172.00194099999999</v>
      </c>
      <c r="D482" s="235">
        <v>136.80785408336422</v>
      </c>
      <c r="E482" s="234">
        <f t="shared" si="32"/>
        <v>136.80785408336422</v>
      </c>
      <c r="F482" s="239"/>
      <c r="G482" s="188" t="str">
        <f t="shared" si="29"/>
        <v/>
      </c>
      <c r="H482" s="236" t="str">
        <f t="shared" si="30"/>
        <v/>
      </c>
      <c r="I482" s="237"/>
    </row>
    <row r="483" spans="1:9">
      <c r="A483" s="232">
        <f t="shared" si="31"/>
        <v>481</v>
      </c>
      <c r="B483" s="233">
        <v>45925</v>
      </c>
      <c r="C483" s="234">
        <v>106.30001799999999</v>
      </c>
      <c r="D483" s="235">
        <v>136.80785408336422</v>
      </c>
      <c r="E483" s="234">
        <f t="shared" si="32"/>
        <v>106.30001799999999</v>
      </c>
      <c r="F483" s="239"/>
      <c r="G483" s="188" t="str">
        <f t="shared" si="29"/>
        <v/>
      </c>
      <c r="H483" s="236" t="str">
        <f t="shared" si="30"/>
        <v/>
      </c>
      <c r="I483" s="237"/>
    </row>
    <row r="484" spans="1:9">
      <c r="A484" s="232">
        <f t="shared" si="31"/>
        <v>482</v>
      </c>
      <c r="B484" s="233">
        <v>45926</v>
      </c>
      <c r="C484" s="234">
        <v>40.738879999999995</v>
      </c>
      <c r="D484" s="235">
        <v>136.80785408336422</v>
      </c>
      <c r="E484" s="234">
        <f t="shared" si="32"/>
        <v>40.738879999999995</v>
      </c>
      <c r="F484" s="239"/>
      <c r="G484" s="188" t="str">
        <f t="shared" si="29"/>
        <v/>
      </c>
      <c r="H484" s="236" t="str">
        <f t="shared" si="30"/>
        <v/>
      </c>
      <c r="I484" s="237"/>
    </row>
    <row r="485" spans="1:9">
      <c r="A485" s="232">
        <f t="shared" si="31"/>
        <v>483</v>
      </c>
      <c r="B485" s="233">
        <v>45927</v>
      </c>
      <c r="C485" s="234">
        <v>81.042478000000003</v>
      </c>
      <c r="D485" s="235">
        <v>136.80785408336422</v>
      </c>
      <c r="E485" s="234">
        <f t="shared" si="32"/>
        <v>81.042478000000003</v>
      </c>
      <c r="F485" s="239"/>
      <c r="G485" s="188" t="str">
        <f t="shared" si="29"/>
        <v/>
      </c>
      <c r="H485" s="236" t="str">
        <f t="shared" si="30"/>
        <v/>
      </c>
      <c r="I485" s="237"/>
    </row>
    <row r="486" spans="1:9">
      <c r="A486" s="232">
        <f t="shared" si="31"/>
        <v>484</v>
      </c>
      <c r="B486" s="233">
        <v>45928</v>
      </c>
      <c r="C486" s="234">
        <v>164.94366099999999</v>
      </c>
      <c r="D486" s="235">
        <v>136.80785408336422</v>
      </c>
      <c r="E486" s="234">
        <f t="shared" si="32"/>
        <v>136.80785408336422</v>
      </c>
      <c r="F486" s="239"/>
      <c r="G486" s="188" t="str">
        <f t="shared" si="29"/>
        <v/>
      </c>
      <c r="H486" s="236" t="str">
        <f t="shared" si="30"/>
        <v/>
      </c>
      <c r="I486" s="237"/>
    </row>
    <row r="487" spans="1:9">
      <c r="A487" s="232">
        <f t="shared" si="31"/>
        <v>485</v>
      </c>
      <c r="B487" s="233">
        <v>45929</v>
      </c>
      <c r="C487" s="234">
        <v>188.78884099999999</v>
      </c>
      <c r="D487" s="235">
        <v>136.80785408336422</v>
      </c>
      <c r="E487" s="234">
        <f t="shared" si="32"/>
        <v>136.80785408336422</v>
      </c>
      <c r="F487" s="239"/>
      <c r="G487" s="188" t="str">
        <f t="shared" si="29"/>
        <v/>
      </c>
      <c r="H487" s="236" t="str">
        <f t="shared" si="30"/>
        <v/>
      </c>
      <c r="I487" s="237"/>
    </row>
    <row r="488" spans="1:9">
      <c r="A488" s="232">
        <f t="shared" si="31"/>
        <v>486</v>
      </c>
      <c r="B488" s="233">
        <v>45930</v>
      </c>
      <c r="C488" s="234">
        <v>94.247309999999999</v>
      </c>
      <c r="D488" s="235">
        <v>136.80785408336422</v>
      </c>
      <c r="E488" s="234">
        <f t="shared" si="32"/>
        <v>94.247309999999999</v>
      </c>
      <c r="F488" s="239"/>
      <c r="G488" s="188" t="str">
        <f t="shared" si="29"/>
        <v/>
      </c>
      <c r="H488" s="236" t="str">
        <f t="shared" si="30"/>
        <v/>
      </c>
      <c r="I488" s="237"/>
    </row>
    <row r="489" spans="1:9">
      <c r="A489" s="232">
        <f t="shared" si="31"/>
        <v>487</v>
      </c>
      <c r="B489" s="233">
        <v>45931</v>
      </c>
      <c r="C489" s="234">
        <v>84.978501000000009</v>
      </c>
      <c r="D489" s="235">
        <v>168.97030143019066</v>
      </c>
      <c r="E489" s="234">
        <f t="shared" si="32"/>
        <v>84.978501000000009</v>
      </c>
      <c r="F489" s="237"/>
      <c r="G489" s="188" t="str">
        <f t="shared" si="29"/>
        <v/>
      </c>
      <c r="H489" s="236" t="str">
        <f t="shared" si="30"/>
        <v/>
      </c>
      <c r="I489" s="237"/>
    </row>
    <row r="490" spans="1:9">
      <c r="A490" s="232">
        <f t="shared" si="31"/>
        <v>488</v>
      </c>
      <c r="B490" s="233">
        <v>45932</v>
      </c>
      <c r="C490" s="234">
        <v>53.655705000000005</v>
      </c>
      <c r="D490" s="235">
        <v>168.97030143019066</v>
      </c>
      <c r="E490" s="234">
        <f t="shared" si="32"/>
        <v>53.655705000000005</v>
      </c>
      <c r="F490" s="237"/>
      <c r="G490" s="188" t="str">
        <f t="shared" si="29"/>
        <v/>
      </c>
      <c r="H490" s="236" t="str">
        <f t="shared" si="30"/>
        <v/>
      </c>
      <c r="I490" s="237"/>
    </row>
    <row r="491" spans="1:9">
      <c r="A491" s="232">
        <f t="shared" si="31"/>
        <v>489</v>
      </c>
      <c r="B491" s="233">
        <v>45933</v>
      </c>
      <c r="C491" s="234">
        <v>45.271990000000002</v>
      </c>
      <c r="D491" s="235">
        <v>168.97030143019066</v>
      </c>
      <c r="E491" s="234">
        <f t="shared" si="32"/>
        <v>45.271990000000002</v>
      </c>
      <c r="F491" s="239"/>
      <c r="G491" s="188" t="str">
        <f t="shared" si="29"/>
        <v/>
      </c>
      <c r="H491" s="236" t="str">
        <f t="shared" si="30"/>
        <v/>
      </c>
      <c r="I491" s="237"/>
    </row>
    <row r="492" spans="1:9">
      <c r="A492" s="232">
        <f t="shared" si="31"/>
        <v>490</v>
      </c>
      <c r="B492" s="233">
        <v>45934</v>
      </c>
      <c r="C492" s="234">
        <v>125.09698900000001</v>
      </c>
      <c r="D492" s="235">
        <v>168.97030143019066</v>
      </c>
      <c r="E492" s="234">
        <f t="shared" si="32"/>
        <v>125.09698900000001</v>
      </c>
      <c r="F492" s="239"/>
      <c r="G492" s="188" t="str">
        <f t="shared" si="29"/>
        <v/>
      </c>
      <c r="H492" s="236" t="str">
        <f t="shared" si="30"/>
        <v/>
      </c>
      <c r="I492" s="237"/>
    </row>
    <row r="493" spans="1:9">
      <c r="A493" s="232">
        <f t="shared" si="31"/>
        <v>491</v>
      </c>
      <c r="B493" s="233">
        <v>45935</v>
      </c>
      <c r="C493" s="234">
        <v>211.84702999999999</v>
      </c>
      <c r="D493" s="235">
        <v>168.97030143019066</v>
      </c>
      <c r="E493" s="234">
        <f t="shared" si="32"/>
        <v>168.97030143019066</v>
      </c>
      <c r="F493" s="239"/>
      <c r="G493" s="188" t="str">
        <f t="shared" si="29"/>
        <v/>
      </c>
      <c r="H493" s="236" t="str">
        <f t="shared" si="30"/>
        <v/>
      </c>
      <c r="I493" s="237"/>
    </row>
    <row r="494" spans="1:9">
      <c r="A494" s="232">
        <f t="shared" si="31"/>
        <v>492</v>
      </c>
      <c r="B494" s="233">
        <v>45936</v>
      </c>
      <c r="C494" s="234">
        <v>127.31721499999999</v>
      </c>
      <c r="D494" s="235">
        <v>168.97030143019066</v>
      </c>
      <c r="E494" s="234">
        <f t="shared" si="32"/>
        <v>127.31721499999999</v>
      </c>
      <c r="F494" s="239"/>
      <c r="G494" s="188" t="str">
        <f t="shared" si="29"/>
        <v/>
      </c>
      <c r="H494" s="236" t="str">
        <f t="shared" si="30"/>
        <v/>
      </c>
      <c r="I494" s="237"/>
    </row>
    <row r="495" spans="1:9">
      <c r="A495" s="232">
        <f t="shared" si="31"/>
        <v>493</v>
      </c>
      <c r="B495" s="233">
        <v>45937</v>
      </c>
      <c r="C495" s="234">
        <v>40.534945</v>
      </c>
      <c r="D495" s="235">
        <v>168.97030143019066</v>
      </c>
      <c r="E495" s="234">
        <f t="shared" si="32"/>
        <v>40.534945</v>
      </c>
      <c r="F495" s="239"/>
      <c r="G495" s="188" t="str">
        <f t="shared" si="29"/>
        <v/>
      </c>
      <c r="H495" s="236" t="str">
        <f t="shared" si="30"/>
        <v/>
      </c>
      <c r="I495" s="237"/>
    </row>
    <row r="496" spans="1:9">
      <c r="A496" s="232">
        <f t="shared" si="31"/>
        <v>494</v>
      </c>
      <c r="B496" s="233">
        <v>45938</v>
      </c>
      <c r="C496" s="234">
        <v>93.948177000000015</v>
      </c>
      <c r="D496" s="235">
        <v>168.97030143019066</v>
      </c>
      <c r="E496" s="234">
        <f t="shared" si="32"/>
        <v>93.948177000000015</v>
      </c>
      <c r="F496" s="239"/>
      <c r="G496" s="188" t="str">
        <f t="shared" si="29"/>
        <v/>
      </c>
      <c r="H496" s="236" t="str">
        <f t="shared" si="30"/>
        <v/>
      </c>
      <c r="I496" s="237"/>
    </row>
    <row r="497" spans="1:9">
      <c r="A497" s="232">
        <f t="shared" si="31"/>
        <v>495</v>
      </c>
      <c r="B497" s="233">
        <v>45939</v>
      </c>
      <c r="C497" s="234">
        <v>236.29716699999997</v>
      </c>
      <c r="D497" s="235">
        <v>168.97030143019066</v>
      </c>
      <c r="E497" s="234">
        <f t="shared" si="32"/>
        <v>168.97030143019066</v>
      </c>
      <c r="F497" s="239"/>
      <c r="G497" s="188" t="str">
        <f t="shared" si="29"/>
        <v/>
      </c>
      <c r="H497" s="236" t="str">
        <f t="shared" si="30"/>
        <v/>
      </c>
      <c r="I497" s="237"/>
    </row>
    <row r="498" spans="1:9">
      <c r="A498" s="232">
        <f t="shared" si="31"/>
        <v>496</v>
      </c>
      <c r="B498" s="233">
        <v>45940</v>
      </c>
      <c r="C498" s="234">
        <v>213.90977300000003</v>
      </c>
      <c r="D498" s="235">
        <v>168.97030143019066</v>
      </c>
      <c r="E498" s="234">
        <f t="shared" si="32"/>
        <v>168.97030143019066</v>
      </c>
      <c r="F498" s="239"/>
      <c r="G498" s="188" t="str">
        <f t="shared" si="29"/>
        <v/>
      </c>
      <c r="H498" s="236" t="str">
        <f t="shared" si="30"/>
        <v/>
      </c>
      <c r="I498" s="237"/>
    </row>
    <row r="499" spans="1:9">
      <c r="A499" s="232">
        <f t="shared" si="31"/>
        <v>497</v>
      </c>
      <c r="B499" s="233">
        <v>45941</v>
      </c>
      <c r="C499" s="234">
        <v>116.77486</v>
      </c>
      <c r="D499" s="235">
        <v>168.97030143019066</v>
      </c>
      <c r="E499" s="234">
        <f t="shared" si="32"/>
        <v>116.77486</v>
      </c>
      <c r="F499" s="239"/>
      <c r="G499" s="188" t="str">
        <f t="shared" si="29"/>
        <v/>
      </c>
      <c r="H499" s="236" t="str">
        <f t="shared" si="30"/>
        <v/>
      </c>
      <c r="I499" s="237"/>
    </row>
    <row r="500" spans="1:9">
      <c r="A500" s="232">
        <f t="shared" si="31"/>
        <v>498</v>
      </c>
      <c r="B500" s="233">
        <v>45942</v>
      </c>
      <c r="C500" s="234">
        <v>117.85022199999999</v>
      </c>
      <c r="D500" s="235">
        <v>168.97030143019066</v>
      </c>
      <c r="E500" s="234">
        <f t="shared" si="32"/>
        <v>117.85022199999999</v>
      </c>
      <c r="F500" s="239"/>
      <c r="G500" s="188" t="str">
        <f t="shared" si="29"/>
        <v/>
      </c>
      <c r="H500" s="236" t="str">
        <f t="shared" si="30"/>
        <v/>
      </c>
      <c r="I500" s="237"/>
    </row>
    <row r="501" spans="1:9">
      <c r="A501" s="232">
        <f t="shared" si="31"/>
        <v>499</v>
      </c>
      <c r="B501" s="233">
        <v>45943</v>
      </c>
      <c r="C501" s="234">
        <v>49.549046000000004</v>
      </c>
      <c r="D501" s="235">
        <v>168.97030143019066</v>
      </c>
      <c r="E501" s="234">
        <f t="shared" si="32"/>
        <v>49.549046000000004</v>
      </c>
      <c r="F501" s="239"/>
      <c r="G501" s="188" t="str">
        <f t="shared" si="29"/>
        <v/>
      </c>
      <c r="H501" s="236" t="str">
        <f t="shared" si="30"/>
        <v/>
      </c>
      <c r="I501" s="237"/>
    </row>
    <row r="502" spans="1:9">
      <c r="A502" s="232">
        <f t="shared" si="31"/>
        <v>500</v>
      </c>
      <c r="B502" s="233">
        <v>45944</v>
      </c>
      <c r="C502" s="234">
        <v>23.236794000000003</v>
      </c>
      <c r="D502" s="235">
        <v>168.97030143019066</v>
      </c>
      <c r="E502" s="234">
        <f t="shared" si="32"/>
        <v>23.236794000000003</v>
      </c>
      <c r="F502" s="239"/>
      <c r="G502" s="188" t="str">
        <f t="shared" si="29"/>
        <v/>
      </c>
      <c r="H502" s="236" t="str">
        <f t="shared" si="30"/>
        <v/>
      </c>
      <c r="I502" s="237"/>
    </row>
    <row r="503" spans="1:9">
      <c r="A503" s="232">
        <f t="shared" si="31"/>
        <v>501</v>
      </c>
      <c r="B503" s="233">
        <v>45945</v>
      </c>
      <c r="C503" s="234">
        <v>35.574103999999998</v>
      </c>
      <c r="D503" s="235">
        <v>168.97030143019066</v>
      </c>
      <c r="E503" s="234">
        <f t="shared" si="32"/>
        <v>35.574103999999998</v>
      </c>
      <c r="F503" s="239"/>
      <c r="G503" s="188" t="str">
        <f t="shared" si="29"/>
        <v>O</v>
      </c>
      <c r="H503" s="236" t="str">
        <f t="shared" si="30"/>
        <v>169,0</v>
      </c>
      <c r="I503" s="237"/>
    </row>
    <row r="504" spans="1:9">
      <c r="A504" s="232">
        <f t="shared" si="31"/>
        <v>502</v>
      </c>
      <c r="B504" s="233">
        <v>45946</v>
      </c>
      <c r="C504" s="234">
        <v>50.567974999999997</v>
      </c>
      <c r="D504" s="235">
        <v>168.97030143019066</v>
      </c>
      <c r="E504" s="234">
        <f t="shared" si="32"/>
        <v>50.567974999999997</v>
      </c>
      <c r="F504" s="239"/>
      <c r="G504" s="188" t="str">
        <f t="shared" si="29"/>
        <v/>
      </c>
      <c r="H504" s="236" t="str">
        <f t="shared" si="30"/>
        <v/>
      </c>
      <c r="I504" s="237"/>
    </row>
    <row r="505" spans="1:9">
      <c r="A505" s="232">
        <f t="shared" si="31"/>
        <v>503</v>
      </c>
      <c r="B505" s="233">
        <v>45947</v>
      </c>
      <c r="C505" s="234">
        <v>53.964230999999998</v>
      </c>
      <c r="D505" s="235">
        <v>168.97030143019066</v>
      </c>
      <c r="E505" s="234">
        <f t="shared" si="32"/>
        <v>53.964230999999998</v>
      </c>
      <c r="F505" s="239"/>
      <c r="G505" s="188" t="str">
        <f t="shared" si="29"/>
        <v/>
      </c>
      <c r="H505" s="236" t="str">
        <f t="shared" si="30"/>
        <v/>
      </c>
      <c r="I505" s="237"/>
    </row>
    <row r="506" spans="1:9">
      <c r="A506" s="232">
        <f t="shared" si="31"/>
        <v>504</v>
      </c>
      <c r="B506" s="233">
        <v>45948</v>
      </c>
      <c r="C506" s="234">
        <v>66.933449999999993</v>
      </c>
      <c r="D506" s="235">
        <v>168.97030143019066</v>
      </c>
      <c r="E506" s="234">
        <f t="shared" si="32"/>
        <v>66.933449999999993</v>
      </c>
      <c r="F506" s="239"/>
      <c r="G506" s="188" t="str">
        <f t="shared" si="29"/>
        <v/>
      </c>
      <c r="H506" s="236" t="str">
        <f t="shared" si="30"/>
        <v/>
      </c>
      <c r="I506" s="237"/>
    </row>
    <row r="507" spans="1:9">
      <c r="A507" s="232">
        <f t="shared" si="31"/>
        <v>505</v>
      </c>
      <c r="B507" s="233">
        <v>45949</v>
      </c>
      <c r="C507" s="234">
        <v>210.47770699999998</v>
      </c>
      <c r="D507" s="235">
        <v>168.97030143019066</v>
      </c>
      <c r="E507" s="234">
        <f t="shared" si="32"/>
        <v>168.97030143019066</v>
      </c>
      <c r="F507" s="239"/>
      <c r="G507" s="188" t="str">
        <f t="shared" si="29"/>
        <v/>
      </c>
      <c r="H507" s="236" t="str">
        <f t="shared" si="30"/>
        <v/>
      </c>
      <c r="I507" s="237"/>
    </row>
    <row r="508" spans="1:9">
      <c r="A508" s="232">
        <f t="shared" si="31"/>
        <v>506</v>
      </c>
      <c r="B508" s="233">
        <v>45950</v>
      </c>
      <c r="C508" s="234">
        <v>293.87530699999996</v>
      </c>
      <c r="D508" s="235">
        <v>168.97030143019066</v>
      </c>
      <c r="E508" s="234">
        <f t="shared" si="32"/>
        <v>168.97030143019066</v>
      </c>
      <c r="F508" s="239"/>
      <c r="G508" s="188" t="str">
        <f t="shared" si="29"/>
        <v/>
      </c>
      <c r="H508" s="236" t="str">
        <f t="shared" si="30"/>
        <v/>
      </c>
      <c r="I508" s="237"/>
    </row>
    <row r="509" spans="1:9">
      <c r="A509" s="232">
        <f t="shared" si="31"/>
        <v>507</v>
      </c>
      <c r="B509" s="233">
        <v>45951</v>
      </c>
      <c r="C509" s="234">
        <v>323.36873499999996</v>
      </c>
      <c r="D509" s="235">
        <v>168.97030143019066</v>
      </c>
      <c r="E509" s="234">
        <f t="shared" si="32"/>
        <v>168.97030143019066</v>
      </c>
      <c r="F509" s="239"/>
      <c r="G509" s="188" t="str">
        <f t="shared" si="29"/>
        <v/>
      </c>
      <c r="H509" s="236" t="str">
        <f t="shared" si="30"/>
        <v/>
      </c>
      <c r="I509" s="237"/>
    </row>
    <row r="510" spans="1:9">
      <c r="A510" s="232">
        <f t="shared" si="31"/>
        <v>508</v>
      </c>
      <c r="B510" s="233">
        <v>45952</v>
      </c>
      <c r="C510" s="234">
        <v>362.36210299999999</v>
      </c>
      <c r="D510" s="235">
        <v>168.97030143019066</v>
      </c>
      <c r="E510" s="234">
        <f t="shared" si="32"/>
        <v>168.97030143019066</v>
      </c>
      <c r="F510" s="239"/>
      <c r="G510" s="188" t="str">
        <f t="shared" si="29"/>
        <v/>
      </c>
      <c r="H510" s="236" t="str">
        <f t="shared" si="30"/>
        <v/>
      </c>
      <c r="I510" s="237"/>
    </row>
    <row r="511" spans="1:9">
      <c r="A511" s="232">
        <f t="shared" si="31"/>
        <v>509</v>
      </c>
      <c r="B511" s="233">
        <v>45953</v>
      </c>
      <c r="C511" s="234">
        <v>331.92926</v>
      </c>
      <c r="D511" s="235">
        <v>168.97030143019066</v>
      </c>
      <c r="E511" s="234">
        <f t="shared" si="32"/>
        <v>168.97030143019066</v>
      </c>
      <c r="F511" s="239"/>
      <c r="G511" s="188" t="str">
        <f t="shared" si="29"/>
        <v/>
      </c>
      <c r="H511" s="236" t="str">
        <f t="shared" si="30"/>
        <v/>
      </c>
      <c r="I511" s="237"/>
    </row>
    <row r="512" spans="1:9">
      <c r="A512" s="232">
        <f t="shared" si="31"/>
        <v>510</v>
      </c>
      <c r="B512" s="233">
        <v>45954</v>
      </c>
      <c r="C512" s="234">
        <v>125.609931</v>
      </c>
      <c r="D512" s="235">
        <v>168.97030143019066</v>
      </c>
      <c r="E512" s="234">
        <f t="shared" si="32"/>
        <v>125.609931</v>
      </c>
      <c r="F512" s="239"/>
      <c r="G512" s="188" t="str">
        <f t="shared" si="29"/>
        <v/>
      </c>
      <c r="H512" s="236" t="str">
        <f t="shared" si="30"/>
        <v/>
      </c>
      <c r="I512" s="237"/>
    </row>
    <row r="513" spans="1:9">
      <c r="A513" s="232">
        <f t="shared" si="31"/>
        <v>511</v>
      </c>
      <c r="B513" s="233">
        <v>45955</v>
      </c>
      <c r="C513" s="234">
        <v>117.720692</v>
      </c>
      <c r="D513" s="235">
        <v>168.97030143019066</v>
      </c>
      <c r="E513" s="234">
        <f t="shared" si="32"/>
        <v>117.720692</v>
      </c>
      <c r="F513" s="239"/>
      <c r="G513" s="188" t="str">
        <f t="shared" si="29"/>
        <v/>
      </c>
      <c r="H513" s="236" t="str">
        <f t="shared" si="30"/>
        <v/>
      </c>
      <c r="I513" s="237"/>
    </row>
    <row r="514" spans="1:9">
      <c r="A514" s="232">
        <f t="shared" si="31"/>
        <v>512</v>
      </c>
      <c r="B514" s="233">
        <v>45956</v>
      </c>
      <c r="C514" s="234">
        <v>211.720437</v>
      </c>
      <c r="D514" s="235">
        <v>168.97030143019066</v>
      </c>
      <c r="E514" s="234">
        <f t="shared" si="32"/>
        <v>168.97030143019066</v>
      </c>
      <c r="F514" s="239"/>
      <c r="G514" s="188" t="str">
        <f t="shared" si="29"/>
        <v/>
      </c>
      <c r="H514" s="236" t="str">
        <f t="shared" si="30"/>
        <v/>
      </c>
      <c r="I514" s="237"/>
    </row>
    <row r="515" spans="1:9">
      <c r="A515" s="232">
        <f t="shared" si="31"/>
        <v>513</v>
      </c>
      <c r="B515" s="233">
        <v>45957</v>
      </c>
      <c r="C515" s="234">
        <v>115.856505</v>
      </c>
      <c r="D515" s="235">
        <v>168.97030143019066</v>
      </c>
      <c r="E515" s="234">
        <f t="shared" si="32"/>
        <v>115.856505</v>
      </c>
      <c r="F515" s="239"/>
      <c r="G515" s="188" t="str">
        <f t="shared" ref="G515:G578" si="33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s="236" t="str">
        <f t="shared" ref="H515:H578" si="34">IF(DAY($B515)=15,TEXT(D515,"#,0"),"")</f>
        <v/>
      </c>
      <c r="I515" s="237"/>
    </row>
    <row r="516" spans="1:9">
      <c r="A516" s="232">
        <f t="shared" ref="A516:A534" si="35">+A515+1</f>
        <v>514</v>
      </c>
      <c r="B516" s="233">
        <v>45958</v>
      </c>
      <c r="C516" s="234">
        <v>100.175257</v>
      </c>
      <c r="D516" s="235">
        <v>168.97030143019066</v>
      </c>
      <c r="E516" s="234">
        <f t="shared" si="32"/>
        <v>100.175257</v>
      </c>
      <c r="F516" s="239"/>
      <c r="G516" s="188" t="str">
        <f t="shared" si="33"/>
        <v/>
      </c>
      <c r="H516" s="236" t="str">
        <f t="shared" si="34"/>
        <v/>
      </c>
      <c r="I516" s="237"/>
    </row>
    <row r="517" spans="1:9">
      <c r="A517" s="232">
        <f t="shared" si="35"/>
        <v>515</v>
      </c>
      <c r="B517" s="233">
        <v>45959</v>
      </c>
      <c r="C517" s="234">
        <v>175.355301</v>
      </c>
      <c r="D517" s="235">
        <v>168.97030143019066</v>
      </c>
      <c r="E517" s="234">
        <f t="shared" si="32"/>
        <v>168.97030143019066</v>
      </c>
      <c r="F517" s="239"/>
      <c r="G517" s="188" t="str">
        <f t="shared" si="33"/>
        <v/>
      </c>
      <c r="H517" s="236" t="str">
        <f t="shared" si="34"/>
        <v/>
      </c>
      <c r="I517" s="237"/>
    </row>
    <row r="518" spans="1:9">
      <c r="A518" s="232">
        <f t="shared" si="35"/>
        <v>516</v>
      </c>
      <c r="B518" s="233">
        <v>45960</v>
      </c>
      <c r="C518" s="234">
        <v>181.94170299999999</v>
      </c>
      <c r="D518" s="235">
        <v>168.97030143019066</v>
      </c>
      <c r="E518" s="234">
        <f t="shared" si="32"/>
        <v>168.97030143019066</v>
      </c>
      <c r="F518" s="239"/>
      <c r="G518" s="188" t="str">
        <f t="shared" si="33"/>
        <v/>
      </c>
      <c r="H518" s="236" t="str">
        <f t="shared" si="34"/>
        <v/>
      </c>
      <c r="I518" s="237"/>
    </row>
    <row r="519" spans="1:9">
      <c r="A519" s="232">
        <f t="shared" si="35"/>
        <v>517</v>
      </c>
      <c r="B519" s="233">
        <v>45961</v>
      </c>
      <c r="C519" s="234">
        <v>265.87503399999997</v>
      </c>
      <c r="D519" s="235">
        <v>168.97030143019066</v>
      </c>
      <c r="E519" s="234">
        <f t="shared" ref="E519:E534" si="36">IF(C519&gt;D519,D519,C519)</f>
        <v>168.97030143019066</v>
      </c>
      <c r="F519" s="239"/>
      <c r="G519" s="188" t="str">
        <f t="shared" si="33"/>
        <v/>
      </c>
      <c r="H519" s="236" t="str">
        <f t="shared" si="34"/>
        <v/>
      </c>
      <c r="I519" s="237"/>
    </row>
    <row r="520" spans="1:9">
      <c r="A520" s="232">
        <f t="shared" si="35"/>
        <v>518</v>
      </c>
      <c r="B520" s="233">
        <v>45962</v>
      </c>
      <c r="C520" s="234">
        <v>200.02664100000001</v>
      </c>
      <c r="D520" s="235">
        <v>208.66384323876261</v>
      </c>
      <c r="E520" s="234">
        <f t="shared" si="36"/>
        <v>200.02664100000001</v>
      </c>
      <c r="F520" s="237"/>
      <c r="G520" s="188" t="str">
        <f t="shared" si="33"/>
        <v/>
      </c>
      <c r="H520" s="236" t="str">
        <f t="shared" si="34"/>
        <v/>
      </c>
      <c r="I520" s="237"/>
    </row>
    <row r="521" spans="1:9">
      <c r="A521" s="232">
        <f t="shared" si="35"/>
        <v>519</v>
      </c>
      <c r="B521" s="233">
        <v>45963</v>
      </c>
      <c r="C521" s="234">
        <v>176.02249799999998</v>
      </c>
      <c r="D521" s="235">
        <v>208.66384323876261</v>
      </c>
      <c r="E521" s="234">
        <f t="shared" si="36"/>
        <v>176.02249799999998</v>
      </c>
      <c r="F521" s="237"/>
      <c r="G521" s="188" t="str">
        <f t="shared" si="33"/>
        <v/>
      </c>
      <c r="H521" s="236" t="str">
        <f t="shared" si="34"/>
        <v/>
      </c>
      <c r="I521" s="237"/>
    </row>
    <row r="522" spans="1:9">
      <c r="A522" s="232">
        <f t="shared" si="35"/>
        <v>520</v>
      </c>
      <c r="B522" s="233">
        <v>45964</v>
      </c>
      <c r="C522" s="234">
        <v>98.33959999999999</v>
      </c>
      <c r="D522" s="235">
        <v>208.66384323876261</v>
      </c>
      <c r="E522" s="234">
        <f t="shared" si="36"/>
        <v>98.33959999999999</v>
      </c>
      <c r="F522" s="239"/>
      <c r="G522" s="188" t="str">
        <f t="shared" si="33"/>
        <v/>
      </c>
      <c r="H522" s="236" t="str">
        <f t="shared" si="34"/>
        <v/>
      </c>
      <c r="I522" s="237"/>
    </row>
    <row r="523" spans="1:9">
      <c r="A523" s="232">
        <f t="shared" si="35"/>
        <v>521</v>
      </c>
      <c r="B523" s="233">
        <v>45965</v>
      </c>
      <c r="C523" s="234">
        <v>214.67067500000002</v>
      </c>
      <c r="D523" s="235">
        <v>208.66384323876261</v>
      </c>
      <c r="E523" s="234">
        <f t="shared" si="36"/>
        <v>208.66384323876261</v>
      </c>
      <c r="F523" s="239"/>
      <c r="G523" s="188" t="str">
        <f t="shared" si="33"/>
        <v/>
      </c>
      <c r="H523" s="236" t="str">
        <f t="shared" si="34"/>
        <v/>
      </c>
      <c r="I523" s="237"/>
    </row>
    <row r="524" spans="1:9">
      <c r="A524" s="232">
        <f t="shared" si="35"/>
        <v>522</v>
      </c>
      <c r="B524" s="233">
        <v>45966</v>
      </c>
      <c r="C524" s="234">
        <v>361.61371200000002</v>
      </c>
      <c r="D524" s="235">
        <v>208.66384323876261</v>
      </c>
      <c r="E524" s="234">
        <f t="shared" si="36"/>
        <v>208.66384323876261</v>
      </c>
      <c r="F524" s="239"/>
      <c r="G524" s="188" t="str">
        <f t="shared" si="33"/>
        <v/>
      </c>
      <c r="H524" s="236" t="str">
        <f t="shared" si="34"/>
        <v/>
      </c>
      <c r="I524" s="237"/>
    </row>
    <row r="525" spans="1:9">
      <c r="A525" s="232">
        <f t="shared" si="35"/>
        <v>523</v>
      </c>
      <c r="B525" s="233">
        <v>45967</v>
      </c>
      <c r="C525" s="234">
        <v>358.43945300000001</v>
      </c>
      <c r="D525" s="235">
        <v>208.66384323876261</v>
      </c>
      <c r="E525" s="234">
        <f t="shared" si="36"/>
        <v>208.66384323876261</v>
      </c>
      <c r="F525" s="239"/>
      <c r="G525" s="188" t="str">
        <f t="shared" si="33"/>
        <v/>
      </c>
      <c r="H525" s="236" t="str">
        <f t="shared" si="34"/>
        <v/>
      </c>
      <c r="I525" s="237"/>
    </row>
    <row r="526" spans="1:9">
      <c r="A526" s="232">
        <f t="shared" si="35"/>
        <v>524</v>
      </c>
      <c r="B526" s="233">
        <v>45968</v>
      </c>
      <c r="C526" s="234">
        <v>252.57927599999999</v>
      </c>
      <c r="D526" s="235">
        <v>208.66384323876261</v>
      </c>
      <c r="E526" s="234">
        <f t="shared" si="36"/>
        <v>208.66384323876261</v>
      </c>
      <c r="F526" s="239"/>
      <c r="G526" s="188" t="str">
        <f t="shared" si="33"/>
        <v/>
      </c>
      <c r="H526" s="236" t="str">
        <f t="shared" si="34"/>
        <v/>
      </c>
      <c r="I526" s="237"/>
    </row>
    <row r="527" spans="1:9">
      <c r="A527" s="232">
        <f t="shared" si="35"/>
        <v>525</v>
      </c>
      <c r="B527" s="233">
        <v>45969</v>
      </c>
      <c r="C527" s="234">
        <v>252.76988200000002</v>
      </c>
      <c r="D527" s="235">
        <v>208.66384323876261</v>
      </c>
      <c r="E527" s="234">
        <f t="shared" si="36"/>
        <v>208.66384323876261</v>
      </c>
      <c r="F527" s="239"/>
      <c r="G527" s="188" t="str">
        <f t="shared" si="33"/>
        <v/>
      </c>
      <c r="H527" s="236" t="str">
        <f t="shared" si="34"/>
        <v/>
      </c>
      <c r="I527" s="237"/>
    </row>
    <row r="528" spans="1:9">
      <c r="A528" s="232">
        <f t="shared" si="35"/>
        <v>526</v>
      </c>
      <c r="B528" s="233">
        <v>45970</v>
      </c>
      <c r="C528" s="234">
        <v>129.52230800000001</v>
      </c>
      <c r="D528" s="235">
        <v>208.66384323876261</v>
      </c>
      <c r="E528" s="234">
        <f t="shared" si="36"/>
        <v>129.52230800000001</v>
      </c>
      <c r="F528" s="239"/>
      <c r="G528" s="188" t="str">
        <f t="shared" si="33"/>
        <v/>
      </c>
      <c r="H528" s="236" t="str">
        <f t="shared" si="34"/>
        <v/>
      </c>
      <c r="I528" s="237"/>
    </row>
    <row r="529" spans="1:9">
      <c r="A529" s="232">
        <f t="shared" si="35"/>
        <v>527</v>
      </c>
      <c r="B529" s="233">
        <v>45971</v>
      </c>
      <c r="C529" s="234">
        <v>134.22962799999999</v>
      </c>
      <c r="D529" s="235">
        <v>208.66384323876261</v>
      </c>
      <c r="E529" s="234">
        <f t="shared" si="36"/>
        <v>134.22962799999999</v>
      </c>
      <c r="F529" s="239"/>
      <c r="G529" s="188" t="str">
        <f t="shared" si="33"/>
        <v/>
      </c>
      <c r="H529" s="236" t="str">
        <f t="shared" si="34"/>
        <v/>
      </c>
      <c r="I529" s="237"/>
    </row>
    <row r="530" spans="1:9">
      <c r="A530" s="232">
        <f t="shared" si="35"/>
        <v>528</v>
      </c>
      <c r="B530" s="233">
        <v>45972</v>
      </c>
      <c r="C530" s="234">
        <v>211.40186199999999</v>
      </c>
      <c r="D530" s="235">
        <v>208.66384323876261</v>
      </c>
      <c r="E530" s="234">
        <f t="shared" si="36"/>
        <v>208.66384323876261</v>
      </c>
      <c r="F530" s="239"/>
      <c r="G530" s="188" t="str">
        <f t="shared" si="33"/>
        <v/>
      </c>
      <c r="H530" s="236" t="str">
        <f t="shared" si="34"/>
        <v/>
      </c>
      <c r="I530" s="237"/>
    </row>
    <row r="531" spans="1:9">
      <c r="A531" s="232">
        <f t="shared" si="35"/>
        <v>529</v>
      </c>
      <c r="B531" s="233">
        <v>45973</v>
      </c>
      <c r="C531" s="234">
        <v>336.698105</v>
      </c>
      <c r="D531" s="235">
        <v>208.66384323876261</v>
      </c>
      <c r="E531" s="234">
        <f t="shared" si="36"/>
        <v>208.66384323876261</v>
      </c>
      <c r="F531" s="239"/>
      <c r="G531" s="188" t="str">
        <f t="shared" si="33"/>
        <v/>
      </c>
      <c r="H531" s="236" t="str">
        <f t="shared" si="34"/>
        <v/>
      </c>
      <c r="I531" s="237"/>
    </row>
    <row r="532" spans="1:9">
      <c r="A532" s="232">
        <f t="shared" si="35"/>
        <v>530</v>
      </c>
      <c r="B532" s="233">
        <v>45974</v>
      </c>
      <c r="C532" s="234">
        <v>380.78504699999996</v>
      </c>
      <c r="D532" s="235">
        <v>208.66384323876261</v>
      </c>
      <c r="E532" s="234">
        <f t="shared" si="36"/>
        <v>208.66384323876261</v>
      </c>
      <c r="F532" s="239"/>
      <c r="G532" s="188" t="str">
        <f t="shared" si="33"/>
        <v/>
      </c>
      <c r="H532" s="236" t="str">
        <f t="shared" si="34"/>
        <v/>
      </c>
      <c r="I532" s="237"/>
    </row>
    <row r="533" spans="1:9">
      <c r="A533" s="232">
        <f t="shared" si="35"/>
        <v>531</v>
      </c>
      <c r="B533" s="233">
        <v>45975</v>
      </c>
      <c r="C533" s="234">
        <v>353.106809</v>
      </c>
      <c r="D533" s="235">
        <v>208.66384323876261</v>
      </c>
      <c r="E533" s="234">
        <f t="shared" si="36"/>
        <v>208.66384323876261</v>
      </c>
      <c r="F533" s="239"/>
      <c r="G533" s="188" t="str">
        <f t="shared" si="33"/>
        <v/>
      </c>
      <c r="H533" s="236" t="str">
        <f t="shared" si="34"/>
        <v/>
      </c>
      <c r="I533" s="237"/>
    </row>
    <row r="534" spans="1:9">
      <c r="A534" s="232">
        <f t="shared" si="35"/>
        <v>532</v>
      </c>
      <c r="B534" s="233">
        <v>45976</v>
      </c>
      <c r="C534" s="234">
        <v>315.77695999999997</v>
      </c>
      <c r="D534" s="235">
        <v>208.66384323876261</v>
      </c>
      <c r="E534" s="234">
        <f t="shared" si="36"/>
        <v>208.66384323876261</v>
      </c>
      <c r="F534" s="239"/>
      <c r="G534" s="188" t="str">
        <f t="shared" si="33"/>
        <v>N</v>
      </c>
      <c r="H534" s="236" t="str">
        <f t="shared" si="34"/>
        <v>208,7</v>
      </c>
      <c r="I534" s="237"/>
    </row>
    <row r="535" spans="1:9">
      <c r="A535" s="232">
        <f t="shared" ref="A535:A598" si="37">+A534+1</f>
        <v>533</v>
      </c>
      <c r="B535" s="233">
        <v>45977</v>
      </c>
      <c r="C535" s="234">
        <v>207.499269</v>
      </c>
      <c r="D535" s="235">
        <v>208.66384323876261</v>
      </c>
      <c r="E535" s="234">
        <f t="shared" ref="E535:E598" si="38">IF(C535&gt;D535,D535,C535)</f>
        <v>207.499269</v>
      </c>
      <c r="F535" s="239"/>
      <c r="G535" s="188" t="str">
        <f t="shared" si="33"/>
        <v/>
      </c>
      <c r="H535" s="236" t="str">
        <f t="shared" si="34"/>
        <v/>
      </c>
      <c r="I535" s="237"/>
    </row>
    <row r="536" spans="1:9">
      <c r="A536" s="232">
        <f t="shared" si="37"/>
        <v>534</v>
      </c>
      <c r="B536" s="233">
        <v>45978</v>
      </c>
      <c r="C536" s="234">
        <v>164.15006100000002</v>
      </c>
      <c r="D536" s="235">
        <v>208.66384323876261</v>
      </c>
      <c r="E536" s="234">
        <f t="shared" si="38"/>
        <v>164.15006100000002</v>
      </c>
      <c r="F536" s="239"/>
      <c r="G536" s="188" t="str">
        <f t="shared" si="33"/>
        <v/>
      </c>
      <c r="H536" s="236" t="str">
        <f t="shared" si="34"/>
        <v/>
      </c>
      <c r="I536" s="237"/>
    </row>
    <row r="537" spans="1:9">
      <c r="A537" s="232">
        <f t="shared" si="37"/>
        <v>535</v>
      </c>
      <c r="B537" s="233">
        <v>45979</v>
      </c>
      <c r="C537" s="234">
        <v>191.09094200000001</v>
      </c>
      <c r="D537" s="235">
        <v>208.66384323876261</v>
      </c>
      <c r="E537" s="234">
        <f t="shared" si="38"/>
        <v>191.09094200000001</v>
      </c>
      <c r="F537" s="239"/>
      <c r="G537" s="188" t="str">
        <f t="shared" si="33"/>
        <v/>
      </c>
      <c r="H537" s="236" t="str">
        <f t="shared" si="34"/>
        <v/>
      </c>
      <c r="I537" s="237"/>
    </row>
    <row r="538" spans="1:9">
      <c r="A538" s="232">
        <f t="shared" si="37"/>
        <v>536</v>
      </c>
      <c r="B538" s="233">
        <v>45980</v>
      </c>
      <c r="C538" s="234">
        <v>131.831076</v>
      </c>
      <c r="D538" s="235">
        <v>208.66384323876261</v>
      </c>
      <c r="E538" s="234">
        <f t="shared" si="38"/>
        <v>131.831076</v>
      </c>
      <c r="F538" s="239"/>
      <c r="G538" s="188" t="str">
        <f t="shared" si="33"/>
        <v/>
      </c>
      <c r="H538" s="236" t="str">
        <f t="shared" si="34"/>
        <v/>
      </c>
      <c r="I538" s="237"/>
    </row>
    <row r="539" spans="1:9">
      <c r="A539" s="232">
        <f t="shared" si="37"/>
        <v>537</v>
      </c>
      <c r="B539" s="233">
        <v>45981</v>
      </c>
      <c r="C539" s="234">
        <v>225.672921</v>
      </c>
      <c r="D539" s="235">
        <v>208.66384323876261</v>
      </c>
      <c r="E539" s="234">
        <f t="shared" si="38"/>
        <v>208.66384323876261</v>
      </c>
      <c r="F539" s="239"/>
      <c r="G539" s="188" t="str">
        <f t="shared" si="33"/>
        <v/>
      </c>
      <c r="H539" s="236" t="str">
        <f t="shared" si="34"/>
        <v/>
      </c>
      <c r="I539" s="237"/>
    </row>
    <row r="540" spans="1:9">
      <c r="A540" s="232">
        <f t="shared" si="37"/>
        <v>538</v>
      </c>
      <c r="B540" s="233">
        <v>45982</v>
      </c>
      <c r="C540" s="234">
        <v>258.45201200000002</v>
      </c>
      <c r="D540" s="235">
        <v>208.66384323876261</v>
      </c>
      <c r="E540" s="234">
        <f t="shared" si="38"/>
        <v>208.66384323876261</v>
      </c>
      <c r="F540" s="239"/>
      <c r="G540" s="188" t="str">
        <f t="shared" si="33"/>
        <v/>
      </c>
      <c r="H540" s="236" t="str">
        <f t="shared" si="34"/>
        <v/>
      </c>
      <c r="I540" s="237"/>
    </row>
    <row r="541" spans="1:9">
      <c r="A541" s="232">
        <f t="shared" si="37"/>
        <v>539</v>
      </c>
      <c r="B541" s="233">
        <v>45983</v>
      </c>
      <c r="C541" s="234">
        <v>245.132668</v>
      </c>
      <c r="D541" s="235">
        <v>208.66384323876261</v>
      </c>
      <c r="E541" s="234">
        <f t="shared" si="38"/>
        <v>208.66384323876261</v>
      </c>
      <c r="F541" s="239"/>
      <c r="G541" s="188" t="str">
        <f t="shared" si="33"/>
        <v/>
      </c>
      <c r="H541" s="236" t="str">
        <f t="shared" si="34"/>
        <v/>
      </c>
      <c r="I541" s="237"/>
    </row>
    <row r="542" spans="1:9">
      <c r="A542" s="232">
        <f t="shared" si="37"/>
        <v>540</v>
      </c>
      <c r="B542" s="233">
        <v>45984</v>
      </c>
      <c r="C542" s="234">
        <v>289.97394000000003</v>
      </c>
      <c r="D542" s="235">
        <v>208.66384323876261</v>
      </c>
      <c r="E542" s="234">
        <f t="shared" si="38"/>
        <v>208.66384323876261</v>
      </c>
      <c r="F542" s="239"/>
      <c r="G542" s="188" t="str">
        <f t="shared" si="33"/>
        <v/>
      </c>
      <c r="H542" s="236" t="str">
        <f t="shared" si="34"/>
        <v/>
      </c>
      <c r="I542" s="237"/>
    </row>
    <row r="543" spans="1:9">
      <c r="A543" s="232">
        <f t="shared" si="37"/>
        <v>541</v>
      </c>
      <c r="B543" s="233">
        <v>45985</v>
      </c>
      <c r="C543" s="234">
        <v>412.04517099999998</v>
      </c>
      <c r="D543" s="235">
        <v>208.66384323876261</v>
      </c>
      <c r="E543" s="234">
        <f t="shared" si="38"/>
        <v>208.66384323876261</v>
      </c>
      <c r="F543" s="239"/>
      <c r="G543" s="188" t="str">
        <f t="shared" si="33"/>
        <v/>
      </c>
      <c r="H543" s="236" t="str">
        <f t="shared" si="34"/>
        <v/>
      </c>
      <c r="I543" s="237"/>
    </row>
    <row r="544" spans="1:9">
      <c r="A544" s="232">
        <f t="shared" si="37"/>
        <v>542</v>
      </c>
      <c r="B544" s="233">
        <v>45986</v>
      </c>
      <c r="C544" s="234">
        <v>324.45697000000001</v>
      </c>
      <c r="D544" s="235">
        <v>208.66384323876261</v>
      </c>
      <c r="E544" s="234">
        <f t="shared" si="38"/>
        <v>208.66384323876261</v>
      </c>
      <c r="F544" s="239"/>
      <c r="G544" s="188" t="str">
        <f t="shared" si="33"/>
        <v/>
      </c>
      <c r="H544" s="236" t="str">
        <f t="shared" si="34"/>
        <v/>
      </c>
      <c r="I544" s="237"/>
    </row>
    <row r="545" spans="1:9">
      <c r="A545" s="232">
        <f t="shared" si="37"/>
        <v>543</v>
      </c>
      <c r="B545" s="233">
        <v>45987</v>
      </c>
      <c r="C545" s="234">
        <v>256.238969</v>
      </c>
      <c r="D545" s="235">
        <v>208.66384323876261</v>
      </c>
      <c r="E545" s="234">
        <f t="shared" si="38"/>
        <v>208.66384323876261</v>
      </c>
      <c r="F545" s="239"/>
      <c r="G545" s="188" t="str">
        <f t="shared" si="33"/>
        <v/>
      </c>
      <c r="H545" s="236" t="str">
        <f t="shared" si="34"/>
        <v/>
      </c>
      <c r="I545" s="237"/>
    </row>
    <row r="546" spans="1:9">
      <c r="A546" s="232">
        <f t="shared" si="37"/>
        <v>544</v>
      </c>
      <c r="B546" s="233">
        <v>45988</v>
      </c>
      <c r="C546" s="234">
        <v>206.740038</v>
      </c>
      <c r="D546" s="235">
        <v>208.66384323876261</v>
      </c>
      <c r="E546" s="234">
        <f t="shared" si="38"/>
        <v>206.740038</v>
      </c>
      <c r="F546" s="239"/>
      <c r="G546" s="188" t="str">
        <f t="shared" si="33"/>
        <v/>
      </c>
      <c r="H546" s="236" t="str">
        <f t="shared" si="34"/>
        <v/>
      </c>
      <c r="I546" s="237"/>
    </row>
    <row r="547" spans="1:9">
      <c r="A547" s="232">
        <f t="shared" si="37"/>
        <v>545</v>
      </c>
      <c r="B547" s="233">
        <v>45989</v>
      </c>
      <c r="C547" s="234">
        <v>79.520308999999997</v>
      </c>
      <c r="D547" s="235">
        <v>208.66384323876261</v>
      </c>
      <c r="E547" s="234">
        <f t="shared" si="38"/>
        <v>79.520308999999997</v>
      </c>
      <c r="F547" s="239"/>
      <c r="G547" s="188" t="str">
        <f t="shared" si="33"/>
        <v/>
      </c>
      <c r="H547" s="236" t="str">
        <f t="shared" si="34"/>
        <v/>
      </c>
      <c r="I547" s="237"/>
    </row>
    <row r="548" spans="1:9">
      <c r="A548" s="232">
        <f t="shared" si="37"/>
        <v>546</v>
      </c>
      <c r="B548" s="233">
        <v>45990</v>
      </c>
      <c r="C548" s="234">
        <v>100.69841000000001</v>
      </c>
      <c r="D548" s="235">
        <v>208.66384323876261</v>
      </c>
      <c r="E548" s="234">
        <f t="shared" si="38"/>
        <v>100.69841000000001</v>
      </c>
      <c r="F548" s="239"/>
      <c r="G548" s="188" t="str">
        <f t="shared" si="33"/>
        <v/>
      </c>
      <c r="H548" s="236" t="str">
        <f t="shared" si="34"/>
        <v/>
      </c>
      <c r="I548" s="237"/>
    </row>
    <row r="549" spans="1:9">
      <c r="A549" s="232">
        <f t="shared" si="37"/>
        <v>547</v>
      </c>
      <c r="B549" s="233">
        <v>45991</v>
      </c>
      <c r="C549" s="234">
        <v>220.04712499999999</v>
      </c>
      <c r="D549" s="235">
        <v>208.66384323876261</v>
      </c>
      <c r="E549" s="234">
        <f t="shared" si="38"/>
        <v>208.66384323876261</v>
      </c>
      <c r="F549" s="239"/>
      <c r="G549" s="188" t="str">
        <f t="shared" si="33"/>
        <v/>
      </c>
      <c r="H549" s="236" t="str">
        <f t="shared" si="34"/>
        <v/>
      </c>
      <c r="I549" s="237"/>
    </row>
    <row r="550" spans="1:9">
      <c r="A550" s="232">
        <f t="shared" si="37"/>
        <v>548</v>
      </c>
      <c r="B550" s="233">
        <v>45992</v>
      </c>
      <c r="C550" s="234">
        <v>137.53796499999999</v>
      </c>
      <c r="D550" s="235">
        <v>201.66288660427333</v>
      </c>
      <c r="E550" s="234">
        <f t="shared" si="38"/>
        <v>137.53796499999999</v>
      </c>
      <c r="F550" s="239"/>
      <c r="G550" s="188" t="str">
        <f t="shared" si="33"/>
        <v/>
      </c>
      <c r="H550" s="236" t="str">
        <f t="shared" si="34"/>
        <v/>
      </c>
      <c r="I550" s="237"/>
    </row>
    <row r="551" spans="1:9">
      <c r="A551" s="232">
        <f t="shared" si="37"/>
        <v>549</v>
      </c>
      <c r="B551" s="233">
        <v>45993</v>
      </c>
      <c r="C551" s="234">
        <v>189.51876700000003</v>
      </c>
      <c r="D551" s="235">
        <v>201.66288660427333</v>
      </c>
      <c r="E551" s="234">
        <f t="shared" si="38"/>
        <v>189.51876700000003</v>
      </c>
      <c r="F551" s="237"/>
      <c r="G551" s="188" t="str">
        <f t="shared" si="33"/>
        <v/>
      </c>
      <c r="H551" s="236" t="str">
        <f t="shared" si="34"/>
        <v/>
      </c>
      <c r="I551" s="237"/>
    </row>
    <row r="552" spans="1:9">
      <c r="A552" s="232">
        <f t="shared" si="37"/>
        <v>550</v>
      </c>
      <c r="B552" s="233">
        <v>45994</v>
      </c>
      <c r="C552" s="234">
        <v>286.80502000000001</v>
      </c>
      <c r="D552" s="235">
        <v>201.66288660427333</v>
      </c>
      <c r="E552" s="234">
        <f t="shared" si="38"/>
        <v>201.66288660427333</v>
      </c>
      <c r="F552" s="237"/>
      <c r="G552" s="188" t="str">
        <f t="shared" si="33"/>
        <v/>
      </c>
      <c r="H552" s="236" t="str">
        <f t="shared" si="34"/>
        <v/>
      </c>
      <c r="I552" s="237"/>
    </row>
    <row r="553" spans="1:9">
      <c r="A553" s="232">
        <f t="shared" si="37"/>
        <v>551</v>
      </c>
      <c r="B553" s="233">
        <v>45995</v>
      </c>
      <c r="C553" s="234">
        <v>399.34946200000002</v>
      </c>
      <c r="D553" s="235">
        <v>201.66288660427333</v>
      </c>
      <c r="E553" s="234">
        <f t="shared" si="38"/>
        <v>201.66288660427333</v>
      </c>
      <c r="F553" s="239"/>
      <c r="G553" s="188" t="str">
        <f t="shared" si="33"/>
        <v/>
      </c>
      <c r="H553" s="236" t="str">
        <f t="shared" si="34"/>
        <v/>
      </c>
      <c r="I553" s="237"/>
    </row>
    <row r="554" spans="1:9">
      <c r="A554" s="232">
        <f t="shared" si="37"/>
        <v>552</v>
      </c>
      <c r="B554" s="233">
        <v>45996</v>
      </c>
      <c r="C554" s="234">
        <v>366.20060799999999</v>
      </c>
      <c r="D554" s="235">
        <v>201.66288660427333</v>
      </c>
      <c r="E554" s="234">
        <f t="shared" si="38"/>
        <v>201.66288660427333</v>
      </c>
      <c r="F554" s="239"/>
      <c r="G554" s="188" t="str">
        <f t="shared" si="33"/>
        <v/>
      </c>
      <c r="H554" s="236" t="str">
        <f t="shared" si="34"/>
        <v/>
      </c>
      <c r="I554" s="237"/>
    </row>
    <row r="555" spans="1:9">
      <c r="A555" s="232">
        <f t="shared" si="37"/>
        <v>553</v>
      </c>
      <c r="B555" s="233">
        <v>45997</v>
      </c>
      <c r="C555" s="234">
        <v>342.585239</v>
      </c>
      <c r="D555" s="235">
        <v>201.66288660427333</v>
      </c>
      <c r="E555" s="234">
        <f t="shared" si="38"/>
        <v>201.66288660427333</v>
      </c>
      <c r="F555" s="239"/>
      <c r="G555" s="188" t="str">
        <f t="shared" si="33"/>
        <v/>
      </c>
      <c r="H555" s="236" t="str">
        <f t="shared" si="34"/>
        <v/>
      </c>
      <c r="I555" s="237"/>
    </row>
    <row r="556" spans="1:9">
      <c r="A556" s="232">
        <f t="shared" si="37"/>
        <v>554</v>
      </c>
      <c r="B556" s="233">
        <v>45998</v>
      </c>
      <c r="C556" s="234">
        <v>241.80106499999999</v>
      </c>
      <c r="D556" s="235">
        <v>201.66288660427333</v>
      </c>
      <c r="E556" s="234">
        <f t="shared" si="38"/>
        <v>201.66288660427333</v>
      </c>
      <c r="F556" s="239"/>
      <c r="G556" s="188" t="str">
        <f t="shared" si="33"/>
        <v/>
      </c>
      <c r="H556" s="236" t="str">
        <f t="shared" si="34"/>
        <v/>
      </c>
      <c r="I556" s="237"/>
    </row>
    <row r="557" spans="1:9">
      <c r="A557" s="232">
        <f t="shared" si="37"/>
        <v>555</v>
      </c>
      <c r="B557" s="233">
        <v>45999</v>
      </c>
      <c r="C557" s="234">
        <v>143.03544500000001</v>
      </c>
      <c r="D557" s="235">
        <v>201.66288660427333</v>
      </c>
      <c r="E557" s="234">
        <f t="shared" si="38"/>
        <v>143.03544500000001</v>
      </c>
      <c r="F557" s="239"/>
      <c r="G557" s="188" t="str">
        <f t="shared" si="33"/>
        <v/>
      </c>
      <c r="H557" s="236" t="str">
        <f t="shared" si="34"/>
        <v/>
      </c>
      <c r="I557" s="237"/>
    </row>
    <row r="558" spans="1:9">
      <c r="A558" s="232">
        <f t="shared" si="37"/>
        <v>556</v>
      </c>
      <c r="B558" s="233">
        <v>46000</v>
      </c>
      <c r="C558" s="234">
        <v>208.40376000000001</v>
      </c>
      <c r="D558" s="235">
        <v>201.66288660427333</v>
      </c>
      <c r="E558" s="234">
        <f t="shared" si="38"/>
        <v>201.66288660427333</v>
      </c>
      <c r="F558" s="239"/>
      <c r="G558" s="188" t="str">
        <f t="shared" si="33"/>
        <v/>
      </c>
      <c r="H558" s="236" t="str">
        <f t="shared" si="34"/>
        <v/>
      </c>
      <c r="I558" s="237"/>
    </row>
    <row r="559" spans="1:9">
      <c r="A559" s="232">
        <f t="shared" si="37"/>
        <v>557</v>
      </c>
      <c r="B559" s="233">
        <v>46001</v>
      </c>
      <c r="C559" s="234">
        <v>76.776893999999999</v>
      </c>
      <c r="D559" s="235">
        <v>201.66288660427333</v>
      </c>
      <c r="E559" s="234">
        <f t="shared" si="38"/>
        <v>76.776893999999999</v>
      </c>
      <c r="F559" s="239"/>
      <c r="G559" s="188" t="str">
        <f t="shared" si="33"/>
        <v/>
      </c>
      <c r="H559" s="236" t="str">
        <f t="shared" si="34"/>
        <v/>
      </c>
      <c r="I559" s="237"/>
    </row>
    <row r="560" spans="1:9">
      <c r="A560" s="232">
        <f t="shared" si="37"/>
        <v>558</v>
      </c>
      <c r="B560" s="233">
        <v>46002</v>
      </c>
      <c r="C560" s="234">
        <v>129.776892</v>
      </c>
      <c r="D560" s="235">
        <v>201.66288660427333</v>
      </c>
      <c r="E560" s="234">
        <f t="shared" si="38"/>
        <v>129.776892</v>
      </c>
      <c r="F560" s="239"/>
      <c r="G560" s="188" t="str">
        <f t="shared" si="33"/>
        <v/>
      </c>
      <c r="H560" s="236" t="str">
        <f t="shared" si="34"/>
        <v/>
      </c>
      <c r="I560" s="237"/>
    </row>
    <row r="561" spans="1:9">
      <c r="A561" s="232">
        <f t="shared" si="37"/>
        <v>559</v>
      </c>
      <c r="B561" s="233">
        <v>46003</v>
      </c>
      <c r="C561" s="234">
        <v>142.31672100000003</v>
      </c>
      <c r="D561" s="235">
        <v>201.66288660427333</v>
      </c>
      <c r="E561" s="234">
        <f t="shared" si="38"/>
        <v>142.31672100000003</v>
      </c>
      <c r="F561" s="239"/>
      <c r="G561" s="188" t="str">
        <f t="shared" si="33"/>
        <v/>
      </c>
      <c r="H561" s="236" t="str">
        <f t="shared" si="34"/>
        <v/>
      </c>
      <c r="I561" s="237"/>
    </row>
    <row r="562" spans="1:9">
      <c r="A562" s="232">
        <f t="shared" si="37"/>
        <v>560</v>
      </c>
      <c r="B562" s="233">
        <v>46004</v>
      </c>
      <c r="C562" s="234">
        <v>125.60963099999999</v>
      </c>
      <c r="D562" s="235">
        <v>201.66288660427333</v>
      </c>
      <c r="E562" s="234">
        <f t="shared" si="38"/>
        <v>125.60963099999999</v>
      </c>
      <c r="F562" s="239"/>
      <c r="G562" s="188" t="str">
        <f t="shared" si="33"/>
        <v/>
      </c>
      <c r="H562" s="236" t="str">
        <f t="shared" si="34"/>
        <v/>
      </c>
      <c r="I562" s="237"/>
    </row>
    <row r="563" spans="1:9">
      <c r="A563" s="232">
        <f t="shared" si="37"/>
        <v>561</v>
      </c>
      <c r="B563" s="233">
        <v>46005</v>
      </c>
      <c r="C563" s="234">
        <v>108.79696799999999</v>
      </c>
      <c r="D563" s="235">
        <v>201.66288660427333</v>
      </c>
      <c r="E563" s="234">
        <f t="shared" si="38"/>
        <v>108.79696799999999</v>
      </c>
      <c r="F563" s="239"/>
      <c r="G563" s="188" t="str">
        <f t="shared" si="33"/>
        <v/>
      </c>
      <c r="H563" s="236" t="str">
        <f t="shared" si="34"/>
        <v/>
      </c>
      <c r="I563" s="237"/>
    </row>
    <row r="564" spans="1:9">
      <c r="A564" s="232">
        <f t="shared" si="37"/>
        <v>562</v>
      </c>
      <c r="B564" s="233">
        <v>46006</v>
      </c>
      <c r="C564" s="234">
        <v>143.20590899999999</v>
      </c>
      <c r="D564" s="235">
        <v>201.66288660427333</v>
      </c>
      <c r="E564" s="234">
        <f t="shared" si="38"/>
        <v>143.20590899999999</v>
      </c>
      <c r="F564" s="239"/>
      <c r="G564" s="188" t="str">
        <f t="shared" si="33"/>
        <v>D</v>
      </c>
      <c r="H564" s="236" t="str">
        <f t="shared" si="34"/>
        <v>201,7</v>
      </c>
      <c r="I564" s="237"/>
    </row>
    <row r="565" spans="1:9">
      <c r="A565" s="232">
        <f t="shared" si="37"/>
        <v>563</v>
      </c>
      <c r="B565" s="233">
        <v>46007</v>
      </c>
      <c r="C565" s="234">
        <v>153.39876599999999</v>
      </c>
      <c r="D565" s="235">
        <v>201.66288660427333</v>
      </c>
      <c r="E565" s="234">
        <f t="shared" si="38"/>
        <v>153.39876599999999</v>
      </c>
      <c r="F565" s="239"/>
      <c r="G565" s="188" t="str">
        <f t="shared" si="33"/>
        <v/>
      </c>
      <c r="H565" s="236" t="str">
        <f t="shared" si="34"/>
        <v/>
      </c>
      <c r="I565" s="237"/>
    </row>
    <row r="566" spans="1:9">
      <c r="A566" s="232">
        <f t="shared" si="37"/>
        <v>564</v>
      </c>
      <c r="B566" s="233">
        <v>46008</v>
      </c>
      <c r="C566" s="234">
        <v>96.511004</v>
      </c>
      <c r="D566" s="235">
        <v>201.66288660427333</v>
      </c>
      <c r="E566" s="234">
        <f t="shared" si="38"/>
        <v>96.511004</v>
      </c>
      <c r="F566" s="239"/>
      <c r="G566" s="188" t="str">
        <f t="shared" si="33"/>
        <v/>
      </c>
      <c r="H566" s="236" t="str">
        <f t="shared" si="34"/>
        <v/>
      </c>
      <c r="I566" s="237"/>
    </row>
    <row r="567" spans="1:9">
      <c r="A567" s="232">
        <f t="shared" si="37"/>
        <v>565</v>
      </c>
      <c r="B567" s="233">
        <v>46009</v>
      </c>
      <c r="C567" s="234">
        <v>184.78287800000001</v>
      </c>
      <c r="D567" s="235">
        <v>201.66288660427333</v>
      </c>
      <c r="E567" s="234">
        <f t="shared" si="38"/>
        <v>184.78287800000001</v>
      </c>
      <c r="F567" s="239"/>
      <c r="G567" s="188" t="str">
        <f t="shared" si="33"/>
        <v/>
      </c>
      <c r="H567" s="236" t="str">
        <f t="shared" si="34"/>
        <v/>
      </c>
      <c r="I567" s="237"/>
    </row>
    <row r="568" spans="1:9">
      <c r="A568" s="232">
        <f t="shared" si="37"/>
        <v>566</v>
      </c>
      <c r="B568" s="233">
        <v>46010</v>
      </c>
      <c r="C568" s="234">
        <v>56.398639000000003</v>
      </c>
      <c r="D568" s="235">
        <v>201.66288660427333</v>
      </c>
      <c r="E568" s="234">
        <f t="shared" si="38"/>
        <v>56.398639000000003</v>
      </c>
      <c r="F568" s="239"/>
      <c r="G568" s="188" t="str">
        <f t="shared" si="33"/>
        <v/>
      </c>
      <c r="H568" s="236" t="str">
        <f t="shared" si="34"/>
        <v/>
      </c>
      <c r="I568" s="237"/>
    </row>
    <row r="569" spans="1:9">
      <c r="A569" s="232">
        <f t="shared" si="37"/>
        <v>567</v>
      </c>
      <c r="B569" s="233">
        <v>46011</v>
      </c>
      <c r="C569" s="234">
        <v>154.25251499999999</v>
      </c>
      <c r="D569" s="235">
        <v>201.66288660427333</v>
      </c>
      <c r="E569" s="234">
        <f t="shared" si="38"/>
        <v>154.25251499999999</v>
      </c>
      <c r="F569" s="239"/>
      <c r="G569" s="188" t="str">
        <f t="shared" si="33"/>
        <v/>
      </c>
      <c r="H569" s="236" t="str">
        <f t="shared" si="34"/>
        <v/>
      </c>
      <c r="I569" s="237"/>
    </row>
    <row r="570" spans="1:9">
      <c r="A570" s="232">
        <f t="shared" si="37"/>
        <v>568</v>
      </c>
      <c r="B570" s="233">
        <v>46012</v>
      </c>
      <c r="C570" s="234">
        <v>219.870225</v>
      </c>
      <c r="D570" s="235">
        <v>201.66288660427333</v>
      </c>
      <c r="E570" s="234">
        <f t="shared" si="38"/>
        <v>201.66288660427333</v>
      </c>
      <c r="F570" s="239"/>
      <c r="G570" s="188" t="str">
        <f t="shared" si="33"/>
        <v/>
      </c>
      <c r="H570" s="236" t="str">
        <f t="shared" si="34"/>
        <v/>
      </c>
      <c r="I570" s="237"/>
    </row>
    <row r="571" spans="1:9">
      <c r="A571" s="232">
        <f t="shared" si="37"/>
        <v>569</v>
      </c>
      <c r="B571" s="233">
        <v>46013</v>
      </c>
      <c r="C571" s="234">
        <v>240.39568</v>
      </c>
      <c r="D571" s="235">
        <v>201.66288660427333</v>
      </c>
      <c r="E571" s="234">
        <f t="shared" si="38"/>
        <v>201.66288660427333</v>
      </c>
      <c r="F571" s="239"/>
      <c r="G571" s="188" t="str">
        <f t="shared" si="33"/>
        <v/>
      </c>
      <c r="H571" s="236" t="str">
        <f t="shared" si="34"/>
        <v/>
      </c>
      <c r="I571" s="237"/>
    </row>
    <row r="572" spans="1:9">
      <c r="A572" s="232">
        <f t="shared" si="37"/>
        <v>570</v>
      </c>
      <c r="B572" s="233">
        <v>46014</v>
      </c>
      <c r="C572" s="234">
        <v>243.56690500000002</v>
      </c>
      <c r="D572" s="235">
        <v>201.66288660427333</v>
      </c>
      <c r="E572" s="234">
        <f t="shared" si="38"/>
        <v>201.66288660427333</v>
      </c>
      <c r="F572" s="239"/>
      <c r="G572" s="188" t="str">
        <f t="shared" si="33"/>
        <v/>
      </c>
      <c r="H572" s="236" t="str">
        <f t="shared" si="34"/>
        <v/>
      </c>
      <c r="I572" s="237"/>
    </row>
    <row r="573" spans="1:9">
      <c r="A573" s="232">
        <f t="shared" si="37"/>
        <v>571</v>
      </c>
      <c r="B573" s="233">
        <v>46015</v>
      </c>
      <c r="C573" s="234">
        <v>230.08488</v>
      </c>
      <c r="D573" s="235">
        <v>201.66288660427333</v>
      </c>
      <c r="E573" s="234">
        <f t="shared" si="38"/>
        <v>201.66288660427333</v>
      </c>
      <c r="F573" s="239"/>
      <c r="G573" s="188" t="str">
        <f t="shared" si="33"/>
        <v/>
      </c>
      <c r="H573" s="236" t="str">
        <f t="shared" si="34"/>
        <v/>
      </c>
      <c r="I573" s="237"/>
    </row>
    <row r="574" spans="1:9">
      <c r="A574" s="232">
        <f t="shared" si="37"/>
        <v>572</v>
      </c>
      <c r="B574" s="233">
        <v>46016</v>
      </c>
      <c r="C574" s="234">
        <v>124.686553</v>
      </c>
      <c r="D574" s="235">
        <v>201.66288660427333</v>
      </c>
      <c r="E574" s="234">
        <f t="shared" si="38"/>
        <v>124.686553</v>
      </c>
      <c r="F574" s="239"/>
      <c r="G574" s="188" t="str">
        <f t="shared" si="33"/>
        <v/>
      </c>
      <c r="H574" s="236" t="str">
        <f t="shared" si="34"/>
        <v/>
      </c>
      <c r="I574" s="237"/>
    </row>
    <row r="575" spans="1:9">
      <c r="A575" s="232">
        <f t="shared" si="37"/>
        <v>573</v>
      </c>
      <c r="B575" s="233">
        <v>46017</v>
      </c>
      <c r="C575" s="234">
        <v>60.320762999999999</v>
      </c>
      <c r="D575" s="235">
        <v>201.66288660427333</v>
      </c>
      <c r="E575" s="234">
        <f t="shared" si="38"/>
        <v>60.320762999999999</v>
      </c>
      <c r="F575" s="239"/>
      <c r="G575" s="188" t="str">
        <f t="shared" si="33"/>
        <v/>
      </c>
      <c r="H575" s="236" t="str">
        <f t="shared" si="34"/>
        <v/>
      </c>
      <c r="I575" s="237"/>
    </row>
    <row r="576" spans="1:9">
      <c r="A576" s="232">
        <f t="shared" si="37"/>
        <v>574</v>
      </c>
      <c r="B576" s="233">
        <v>46018</v>
      </c>
      <c r="C576" s="234">
        <v>173.214023</v>
      </c>
      <c r="D576" s="235">
        <v>201.66288660427333</v>
      </c>
      <c r="E576" s="234">
        <f t="shared" si="38"/>
        <v>173.214023</v>
      </c>
      <c r="F576" s="239"/>
      <c r="G576" s="188" t="str">
        <f t="shared" si="33"/>
        <v/>
      </c>
      <c r="H576" s="236" t="str">
        <f t="shared" si="34"/>
        <v/>
      </c>
      <c r="I576" s="237"/>
    </row>
    <row r="577" spans="1:9">
      <c r="A577" s="232">
        <f t="shared" si="37"/>
        <v>575</v>
      </c>
      <c r="B577" s="233">
        <v>46019</v>
      </c>
      <c r="C577" s="234">
        <v>158.09477200000001</v>
      </c>
      <c r="D577" s="235">
        <v>201.66288660427333</v>
      </c>
      <c r="E577" s="234">
        <f t="shared" si="38"/>
        <v>158.09477200000001</v>
      </c>
      <c r="F577" s="239"/>
      <c r="G577" s="188" t="str">
        <f t="shared" si="33"/>
        <v/>
      </c>
      <c r="H577" s="236" t="str">
        <f t="shared" si="34"/>
        <v/>
      </c>
      <c r="I577" s="237"/>
    </row>
    <row r="578" spans="1:9">
      <c r="A578" s="232">
        <f t="shared" si="37"/>
        <v>576</v>
      </c>
      <c r="B578" s="233">
        <v>46020</v>
      </c>
      <c r="C578" s="234">
        <v>21.450118</v>
      </c>
      <c r="D578" s="235">
        <v>201.66288660427333</v>
      </c>
      <c r="E578" s="234">
        <f t="shared" si="38"/>
        <v>21.450118</v>
      </c>
      <c r="F578" s="239"/>
      <c r="G578" s="188" t="str">
        <f t="shared" si="33"/>
        <v/>
      </c>
      <c r="H578" s="236" t="str">
        <f t="shared" si="34"/>
        <v/>
      </c>
      <c r="I578" s="237"/>
    </row>
    <row r="579" spans="1:9">
      <c r="A579" s="232">
        <f t="shared" si="37"/>
        <v>577</v>
      </c>
      <c r="B579" s="233">
        <v>46021</v>
      </c>
      <c r="C579" s="234">
        <v>142.415367</v>
      </c>
      <c r="D579" s="235">
        <v>201.66288660427333</v>
      </c>
      <c r="E579" s="234">
        <f t="shared" si="38"/>
        <v>142.415367</v>
      </c>
      <c r="F579" s="239"/>
      <c r="G579" s="188" t="str">
        <f t="shared" ref="G579:G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s="236" t="str">
        <f t="shared" ref="H579:H642" si="40">IF(DAY($B579)=15,TEXT(D579,"#,0"),"")</f>
        <v/>
      </c>
      <c r="I579" s="237"/>
    </row>
    <row r="580" spans="1:9">
      <c r="A580" s="232">
        <f t="shared" si="37"/>
        <v>578</v>
      </c>
      <c r="B580" s="233">
        <v>46022</v>
      </c>
      <c r="C580" s="234">
        <v>85.067233999999999</v>
      </c>
      <c r="D580" s="235">
        <v>201.66288660427333</v>
      </c>
      <c r="E580" s="234">
        <f t="shared" si="38"/>
        <v>85.067233999999999</v>
      </c>
      <c r="F580" s="239"/>
      <c r="G580" s="188" t="str">
        <f t="shared" si="39"/>
        <v/>
      </c>
      <c r="H580" s="236" t="str">
        <f t="shared" si="40"/>
        <v/>
      </c>
      <c r="I580" s="237"/>
    </row>
    <row r="581" spans="1:9">
      <c r="A581" s="232">
        <f t="shared" si="37"/>
        <v>579</v>
      </c>
      <c r="B581" s="233">
        <v>46023</v>
      </c>
      <c r="C581" s="234">
        <v>98.519115999999997</v>
      </c>
      <c r="D581" s="235">
        <v>236.87341047162496</v>
      </c>
      <c r="E581" s="234">
        <f t="shared" si="38"/>
        <v>98.519115999999997</v>
      </c>
      <c r="F581" s="237">
        <f>YEAR(B581)</f>
        <v>2026</v>
      </c>
      <c r="G581" s="188" t="str">
        <f t="shared" si="39"/>
        <v/>
      </c>
      <c r="H581" s="236" t="str">
        <f t="shared" si="40"/>
        <v/>
      </c>
      <c r="I581" s="237"/>
    </row>
    <row r="582" spans="1:9">
      <c r="A582" s="232">
        <f t="shared" si="37"/>
        <v>580</v>
      </c>
      <c r="B582" s="233">
        <v>46024</v>
      </c>
      <c r="C582" s="234">
        <v>129.93630999999999</v>
      </c>
      <c r="D582" s="235">
        <v>236.87341047162496</v>
      </c>
      <c r="E582" s="234">
        <f t="shared" si="38"/>
        <v>129.93630999999999</v>
      </c>
      <c r="F582" s="237"/>
      <c r="G582" s="188" t="str">
        <f t="shared" si="39"/>
        <v/>
      </c>
      <c r="H582" s="236" t="str">
        <f t="shared" si="40"/>
        <v/>
      </c>
      <c r="I582" s="237"/>
    </row>
    <row r="583" spans="1:9">
      <c r="A583" s="232">
        <f t="shared" si="37"/>
        <v>581</v>
      </c>
      <c r="B583" s="233">
        <v>46025</v>
      </c>
      <c r="C583" s="234">
        <v>141.03402</v>
      </c>
      <c r="D583" s="235">
        <v>236.87341047162496</v>
      </c>
      <c r="E583" s="234">
        <f t="shared" si="38"/>
        <v>141.03402</v>
      </c>
      <c r="F583" s="239"/>
      <c r="G583" s="188" t="str">
        <f t="shared" si="39"/>
        <v/>
      </c>
      <c r="H583" s="236" t="str">
        <f t="shared" si="40"/>
        <v/>
      </c>
      <c r="I583" s="237"/>
    </row>
    <row r="584" spans="1:9">
      <c r="A584" s="232">
        <f t="shared" si="37"/>
        <v>582</v>
      </c>
      <c r="B584" s="233">
        <v>46026</v>
      </c>
      <c r="C584" s="234">
        <v>356.749527</v>
      </c>
      <c r="D584" s="235">
        <v>236.87341047162496</v>
      </c>
      <c r="E584" s="234">
        <f t="shared" si="38"/>
        <v>236.87341047162496</v>
      </c>
      <c r="F584" s="239"/>
      <c r="G584" s="188" t="str">
        <f t="shared" si="39"/>
        <v/>
      </c>
      <c r="H584" s="236" t="str">
        <f t="shared" si="40"/>
        <v/>
      </c>
      <c r="I584" s="237"/>
    </row>
    <row r="585" spans="1:9">
      <c r="A585" s="232">
        <f t="shared" si="37"/>
        <v>583</v>
      </c>
      <c r="B585" s="233">
        <v>46027</v>
      </c>
      <c r="C585" s="234">
        <v>283.63285199999996</v>
      </c>
      <c r="D585" s="235">
        <v>236.87341047162496</v>
      </c>
      <c r="E585" s="234">
        <f t="shared" si="38"/>
        <v>236.87341047162496</v>
      </c>
      <c r="F585" s="239"/>
      <c r="G585" s="188" t="str">
        <f t="shared" si="39"/>
        <v/>
      </c>
      <c r="H585" s="236" t="str">
        <f t="shared" si="40"/>
        <v/>
      </c>
      <c r="I585" s="237"/>
    </row>
    <row r="586" spans="1:9">
      <c r="A586" s="232">
        <f t="shared" si="37"/>
        <v>584</v>
      </c>
      <c r="B586" s="233">
        <v>46028</v>
      </c>
      <c r="C586" s="234">
        <v>295.48548499999998</v>
      </c>
      <c r="D586" s="235">
        <v>236.87341047162496</v>
      </c>
      <c r="E586" s="234">
        <f t="shared" si="38"/>
        <v>236.87341047162496</v>
      </c>
      <c r="F586" s="239"/>
      <c r="G586" s="188" t="str">
        <f t="shared" si="39"/>
        <v/>
      </c>
      <c r="H586" s="236" t="str">
        <f t="shared" si="40"/>
        <v/>
      </c>
      <c r="I586" s="237"/>
    </row>
    <row r="587" spans="1:9">
      <c r="A587" s="232">
        <f t="shared" si="37"/>
        <v>585</v>
      </c>
      <c r="B587" s="233">
        <v>46029</v>
      </c>
      <c r="C587" s="234">
        <v>272.998716</v>
      </c>
      <c r="D587" s="235">
        <v>236.87341047162496</v>
      </c>
      <c r="E587" s="234">
        <f t="shared" si="38"/>
        <v>236.87341047162496</v>
      </c>
      <c r="F587" s="239"/>
      <c r="G587" s="188" t="str">
        <f t="shared" si="39"/>
        <v/>
      </c>
      <c r="H587" s="236" t="str">
        <f t="shared" si="40"/>
        <v/>
      </c>
      <c r="I587" s="237"/>
    </row>
    <row r="588" spans="1:9">
      <c r="A588" s="232">
        <f t="shared" si="37"/>
        <v>586</v>
      </c>
      <c r="B588" s="233">
        <v>46030</v>
      </c>
      <c r="C588" s="234">
        <v>369.39308500000004</v>
      </c>
      <c r="D588" s="235">
        <v>236.87341047162496</v>
      </c>
      <c r="E588" s="234">
        <f t="shared" si="38"/>
        <v>236.87341047162496</v>
      </c>
      <c r="F588" s="239"/>
      <c r="G588" s="188" t="str">
        <f t="shared" si="39"/>
        <v/>
      </c>
      <c r="H588" s="236" t="str">
        <f t="shared" si="40"/>
        <v/>
      </c>
      <c r="I588" s="237"/>
    </row>
    <row r="589" spans="1:9">
      <c r="A589" s="232">
        <f t="shared" si="37"/>
        <v>587</v>
      </c>
      <c r="B589" s="233">
        <v>46031</v>
      </c>
      <c r="C589" s="234">
        <v>456.25043199999999</v>
      </c>
      <c r="D589" s="235">
        <v>236.87341047162496</v>
      </c>
      <c r="E589" s="234">
        <f t="shared" si="38"/>
        <v>236.87341047162496</v>
      </c>
      <c r="F589" s="239"/>
      <c r="G589" s="188" t="str">
        <f t="shared" si="39"/>
        <v/>
      </c>
      <c r="H589" s="236" t="str">
        <f t="shared" si="40"/>
        <v/>
      </c>
      <c r="I589" s="237"/>
    </row>
    <row r="590" spans="1:9">
      <c r="A590" s="232">
        <f t="shared" si="37"/>
        <v>588</v>
      </c>
      <c r="B590" s="233">
        <v>46032</v>
      </c>
      <c r="C590" s="234">
        <v>292.46655900000002</v>
      </c>
      <c r="D590" s="235">
        <v>236.87341047162496</v>
      </c>
      <c r="E590" s="234">
        <f t="shared" si="38"/>
        <v>236.87341047162496</v>
      </c>
      <c r="F590" s="239"/>
      <c r="G590" s="188" t="str">
        <f t="shared" si="39"/>
        <v/>
      </c>
      <c r="H590" s="236" t="str">
        <f t="shared" si="40"/>
        <v/>
      </c>
      <c r="I590" s="237"/>
    </row>
    <row r="591" spans="1:9">
      <c r="A591" s="232">
        <f t="shared" si="37"/>
        <v>589</v>
      </c>
      <c r="B591" s="233">
        <v>46033</v>
      </c>
      <c r="C591" s="234">
        <v>225.99817199999998</v>
      </c>
      <c r="D591" s="235">
        <v>236.87341047162496</v>
      </c>
      <c r="E591" s="234">
        <f t="shared" si="38"/>
        <v>225.99817199999998</v>
      </c>
      <c r="F591" s="239"/>
      <c r="G591" s="188" t="str">
        <f t="shared" si="39"/>
        <v/>
      </c>
      <c r="H591" s="236" t="str">
        <f t="shared" si="40"/>
        <v/>
      </c>
      <c r="I591" s="237"/>
    </row>
    <row r="592" spans="1:9">
      <c r="A592" s="232">
        <f t="shared" si="37"/>
        <v>590</v>
      </c>
      <c r="B592" s="233">
        <v>46034</v>
      </c>
      <c r="C592" s="234">
        <v>211.16544099999999</v>
      </c>
      <c r="D592" s="235">
        <v>236.87341047162496</v>
      </c>
      <c r="E592" s="234">
        <f t="shared" si="38"/>
        <v>211.16544099999999</v>
      </c>
      <c r="F592" s="239"/>
      <c r="G592" s="188" t="str">
        <f t="shared" si="39"/>
        <v/>
      </c>
      <c r="H592" s="236" t="str">
        <f t="shared" si="40"/>
        <v/>
      </c>
      <c r="I592" s="237"/>
    </row>
    <row r="593" spans="1:9">
      <c r="A593" s="232">
        <f t="shared" si="37"/>
        <v>591</v>
      </c>
      <c r="B593" s="233">
        <v>46035</v>
      </c>
      <c r="C593" s="234">
        <v>263.91427799999997</v>
      </c>
      <c r="D593" s="235">
        <v>236.87341047162496</v>
      </c>
      <c r="E593" s="234">
        <f t="shared" si="38"/>
        <v>236.87341047162496</v>
      </c>
      <c r="F593" s="239"/>
      <c r="G593" s="188" t="str">
        <f t="shared" si="39"/>
        <v/>
      </c>
      <c r="H593" s="236" t="str">
        <f t="shared" si="40"/>
        <v/>
      </c>
      <c r="I593" s="237"/>
    </row>
    <row r="594" spans="1:9">
      <c r="A594" s="232">
        <f t="shared" si="37"/>
        <v>592</v>
      </c>
      <c r="B594" s="233">
        <v>46036</v>
      </c>
      <c r="C594" s="234">
        <v>82.735627999999991</v>
      </c>
      <c r="D594" s="235">
        <v>236.87341047162496</v>
      </c>
      <c r="E594" s="234">
        <f t="shared" si="38"/>
        <v>82.735627999999991</v>
      </c>
      <c r="F594" s="239"/>
      <c r="G594" s="188" t="str">
        <f t="shared" si="39"/>
        <v/>
      </c>
      <c r="H594" s="236" t="str">
        <f t="shared" si="40"/>
        <v/>
      </c>
      <c r="I594" s="237"/>
    </row>
    <row r="595" spans="1:9">
      <c r="A595" s="232">
        <f t="shared" si="37"/>
        <v>593</v>
      </c>
      <c r="B595" s="233">
        <v>46037</v>
      </c>
      <c r="C595" s="234">
        <v>213.93195300000002</v>
      </c>
      <c r="D595" s="235">
        <v>236.87341047162496</v>
      </c>
      <c r="E595" s="234">
        <f t="shared" si="38"/>
        <v>213.93195300000002</v>
      </c>
      <c r="F595" s="239"/>
      <c r="G595" s="188" t="str">
        <f t="shared" si="39"/>
        <v>E</v>
      </c>
      <c r="H595" s="236" t="str">
        <f t="shared" si="40"/>
        <v>236,9</v>
      </c>
      <c r="I595" s="237"/>
    </row>
    <row r="596" spans="1:9">
      <c r="A596" s="232">
        <f t="shared" si="37"/>
        <v>594</v>
      </c>
      <c r="B596" s="233">
        <v>46038</v>
      </c>
      <c r="C596" s="234">
        <v>112.592851</v>
      </c>
      <c r="D596" s="235">
        <v>236.87341047162496</v>
      </c>
      <c r="E596" s="234">
        <f t="shared" si="38"/>
        <v>112.592851</v>
      </c>
      <c r="F596" s="239"/>
      <c r="G596" s="188" t="str">
        <f t="shared" si="39"/>
        <v/>
      </c>
      <c r="H596" s="236" t="str">
        <f t="shared" si="40"/>
        <v/>
      </c>
      <c r="I596" s="237"/>
    </row>
    <row r="597" spans="1:9">
      <c r="A597" s="232">
        <f t="shared" si="37"/>
        <v>595</v>
      </c>
      <c r="B597" s="233">
        <v>46039</v>
      </c>
      <c r="C597" s="234">
        <v>59.133735000000001</v>
      </c>
      <c r="D597" s="235">
        <v>236.87341047162496</v>
      </c>
      <c r="E597" s="234">
        <f t="shared" si="38"/>
        <v>59.133735000000001</v>
      </c>
      <c r="F597" s="239"/>
      <c r="G597" s="188" t="str">
        <f t="shared" si="39"/>
        <v/>
      </c>
      <c r="H597" s="236" t="str">
        <f t="shared" si="40"/>
        <v/>
      </c>
      <c r="I597" s="237"/>
    </row>
    <row r="598" spans="1:9">
      <c r="A598" s="232">
        <f t="shared" si="37"/>
        <v>596</v>
      </c>
      <c r="B598" s="233">
        <v>46040</v>
      </c>
      <c r="C598" s="234">
        <v>56.310523000000003</v>
      </c>
      <c r="D598" s="235">
        <v>236.87341047162496</v>
      </c>
      <c r="E598" s="234">
        <f t="shared" si="38"/>
        <v>56.310523000000003</v>
      </c>
      <c r="F598" s="239"/>
      <c r="G598" s="188" t="str">
        <f t="shared" si="39"/>
        <v/>
      </c>
      <c r="H598" s="236" t="str">
        <f t="shared" si="40"/>
        <v/>
      </c>
      <c r="I598" s="237"/>
    </row>
    <row r="599" spans="1:9">
      <c r="A599" s="232">
        <f t="shared" ref="A599:A662" si="41">+A598+1</f>
        <v>597</v>
      </c>
      <c r="B599" s="233">
        <v>46041</v>
      </c>
      <c r="C599" s="234">
        <v>149.89128500000001</v>
      </c>
      <c r="D599" s="235">
        <v>236.87341047162496</v>
      </c>
      <c r="E599" s="234">
        <f t="shared" ref="E599:E662" si="42">IF(C599&gt;D599,D599,C599)</f>
        <v>149.89128500000001</v>
      </c>
      <c r="F599" s="239"/>
      <c r="G599" s="188" t="str">
        <f t="shared" si="39"/>
        <v/>
      </c>
      <c r="H599" s="236" t="str">
        <f t="shared" si="40"/>
        <v/>
      </c>
      <c r="I599" s="237"/>
    </row>
    <row r="600" spans="1:9">
      <c r="A600" s="232">
        <f t="shared" si="41"/>
        <v>598</v>
      </c>
      <c r="B600" s="233">
        <v>46042</v>
      </c>
      <c r="C600" s="234">
        <v>256.06277599999999</v>
      </c>
      <c r="D600" s="235">
        <v>236.87341047162496</v>
      </c>
      <c r="E600" s="234">
        <f t="shared" si="42"/>
        <v>236.87341047162496</v>
      </c>
      <c r="F600" s="239"/>
      <c r="G600" s="188" t="str">
        <f t="shared" si="39"/>
        <v/>
      </c>
      <c r="H600" s="236" t="str">
        <f t="shared" si="40"/>
        <v/>
      </c>
      <c r="I600" s="237"/>
    </row>
    <row r="601" spans="1:9">
      <c r="A601" s="232">
        <f t="shared" si="41"/>
        <v>599</v>
      </c>
      <c r="B601" s="233">
        <v>46043</v>
      </c>
      <c r="C601" s="234">
        <v>357.96870899999999</v>
      </c>
      <c r="D601" s="235">
        <v>236.87341047162496</v>
      </c>
      <c r="E601" s="234">
        <f t="shared" si="42"/>
        <v>236.87341047162496</v>
      </c>
      <c r="F601" s="239"/>
      <c r="G601" s="188" t="str">
        <f t="shared" si="39"/>
        <v/>
      </c>
      <c r="H601" s="236" t="str">
        <f t="shared" si="40"/>
        <v/>
      </c>
      <c r="I601" s="237"/>
    </row>
    <row r="602" spans="1:9">
      <c r="A602" s="232">
        <f t="shared" si="41"/>
        <v>600</v>
      </c>
      <c r="B602" s="233">
        <v>46044</v>
      </c>
      <c r="C602" s="234">
        <v>395.73399100000006</v>
      </c>
      <c r="D602" s="235">
        <v>236.87341047162496</v>
      </c>
      <c r="E602" s="234">
        <f t="shared" si="42"/>
        <v>236.87341047162496</v>
      </c>
      <c r="F602" s="239"/>
      <c r="G602" s="188" t="str">
        <f t="shared" si="39"/>
        <v/>
      </c>
      <c r="H602" s="236" t="str">
        <f t="shared" si="40"/>
        <v/>
      </c>
      <c r="I602" s="237"/>
    </row>
    <row r="603" spans="1:9">
      <c r="A603" s="232">
        <f t="shared" si="41"/>
        <v>601</v>
      </c>
      <c r="B603" s="233">
        <v>46045</v>
      </c>
      <c r="C603" s="234">
        <v>344.62276100000003</v>
      </c>
      <c r="D603" s="235">
        <v>236.87341047162496</v>
      </c>
      <c r="E603" s="234">
        <f t="shared" si="42"/>
        <v>236.87341047162496</v>
      </c>
      <c r="F603" s="239"/>
      <c r="G603" s="188" t="str">
        <f t="shared" si="39"/>
        <v/>
      </c>
      <c r="H603" s="236" t="str">
        <f t="shared" si="40"/>
        <v/>
      </c>
      <c r="I603" s="237"/>
    </row>
    <row r="604" spans="1:9">
      <c r="A604" s="232">
        <f t="shared" si="41"/>
        <v>602</v>
      </c>
      <c r="B604" s="233">
        <v>46046</v>
      </c>
      <c r="C604" s="234">
        <v>366.05297300000001</v>
      </c>
      <c r="D604" s="235">
        <v>236.87341047162496</v>
      </c>
      <c r="E604" s="234">
        <f t="shared" si="42"/>
        <v>236.87341047162496</v>
      </c>
      <c r="F604" s="239"/>
      <c r="G604" s="188" t="str">
        <f t="shared" si="39"/>
        <v/>
      </c>
      <c r="H604" s="236" t="str">
        <f t="shared" si="40"/>
        <v/>
      </c>
      <c r="I604" s="237"/>
    </row>
    <row r="605" spans="1:9">
      <c r="A605" s="232">
        <f t="shared" si="41"/>
        <v>603</v>
      </c>
      <c r="B605" s="233">
        <v>46047</v>
      </c>
      <c r="C605" s="234">
        <v>386.11337900000001</v>
      </c>
      <c r="D605" s="235">
        <v>236.87341047162496</v>
      </c>
      <c r="E605" s="234">
        <f t="shared" si="42"/>
        <v>236.87341047162496</v>
      </c>
      <c r="F605" s="239"/>
      <c r="G605" s="188" t="str">
        <f t="shared" si="39"/>
        <v/>
      </c>
      <c r="H605" s="236" t="str">
        <f t="shared" si="40"/>
        <v/>
      </c>
      <c r="I605" s="237"/>
    </row>
    <row r="606" spans="1:9">
      <c r="A606" s="232">
        <f t="shared" si="41"/>
        <v>604</v>
      </c>
      <c r="B606" s="233">
        <v>46048</v>
      </c>
      <c r="C606" s="234">
        <v>372.84373999999997</v>
      </c>
      <c r="D606" s="235">
        <v>236.87341047162496</v>
      </c>
      <c r="E606" s="234">
        <f t="shared" si="42"/>
        <v>236.87341047162496</v>
      </c>
      <c r="F606" s="239"/>
      <c r="G606" s="188" t="str">
        <f t="shared" si="39"/>
        <v/>
      </c>
      <c r="H606" s="236" t="str">
        <f t="shared" si="40"/>
        <v/>
      </c>
      <c r="I606" s="237"/>
    </row>
    <row r="607" spans="1:9">
      <c r="A607" s="232">
        <f t="shared" si="41"/>
        <v>605</v>
      </c>
      <c r="B607" s="233">
        <v>46049</v>
      </c>
      <c r="C607" s="234">
        <v>370.835804</v>
      </c>
      <c r="D607" s="235">
        <v>236.87341047162496</v>
      </c>
      <c r="E607" s="234">
        <f t="shared" si="42"/>
        <v>236.87341047162496</v>
      </c>
      <c r="F607" s="239"/>
      <c r="G607" s="188" t="str">
        <f t="shared" si="39"/>
        <v/>
      </c>
      <c r="H607" s="236" t="str">
        <f t="shared" si="40"/>
        <v/>
      </c>
      <c r="I607" s="237"/>
    </row>
    <row r="608" spans="1:9">
      <c r="A608" s="232">
        <f t="shared" si="41"/>
        <v>606</v>
      </c>
      <c r="B608" s="233">
        <v>46050</v>
      </c>
      <c r="C608" s="234">
        <v>289.23715399999998</v>
      </c>
      <c r="D608" s="235">
        <v>236.87341047162496</v>
      </c>
      <c r="E608" s="234">
        <f t="shared" si="42"/>
        <v>236.87341047162496</v>
      </c>
      <c r="F608" s="239"/>
      <c r="G608" s="188" t="str">
        <f t="shared" si="39"/>
        <v/>
      </c>
      <c r="H608" s="236" t="str">
        <f t="shared" si="40"/>
        <v/>
      </c>
      <c r="I608" s="237"/>
    </row>
    <row r="609" spans="1:9">
      <c r="A609" s="232">
        <f t="shared" si="41"/>
        <v>607</v>
      </c>
      <c r="B609" s="233">
        <v>46051</v>
      </c>
      <c r="C609" s="234">
        <v>369.38480900000002</v>
      </c>
      <c r="D609" s="235">
        <v>236.87341047162496</v>
      </c>
      <c r="E609" s="234">
        <f t="shared" si="42"/>
        <v>236.87341047162496</v>
      </c>
      <c r="F609" s="239"/>
      <c r="G609" s="188" t="str">
        <f t="shared" si="39"/>
        <v/>
      </c>
      <c r="H609" s="236" t="str">
        <f t="shared" si="40"/>
        <v/>
      </c>
      <c r="I609" s="237"/>
    </row>
    <row r="610" spans="1:9">
      <c r="A610" s="232">
        <f t="shared" si="41"/>
        <v>608</v>
      </c>
      <c r="B610" s="233">
        <v>46052</v>
      </c>
      <c r="C610" s="234">
        <v>352.67438900000002</v>
      </c>
      <c r="D610" s="235">
        <v>236.87341047162496</v>
      </c>
      <c r="E610" s="234">
        <f t="shared" si="42"/>
        <v>236.87341047162496</v>
      </c>
      <c r="F610" s="239"/>
      <c r="G610" s="188" t="str">
        <f t="shared" si="39"/>
        <v/>
      </c>
      <c r="H610" s="236" t="str">
        <f t="shared" si="40"/>
        <v/>
      </c>
      <c r="I610" s="237"/>
    </row>
    <row r="611" spans="1:9">
      <c r="A611" s="232">
        <f t="shared" si="41"/>
        <v>609</v>
      </c>
      <c r="B611" s="233">
        <v>46053</v>
      </c>
      <c r="C611" s="234">
        <v>255.73537999999996</v>
      </c>
      <c r="D611" s="235">
        <v>236.87341047162496</v>
      </c>
      <c r="E611" s="234">
        <f t="shared" si="42"/>
        <v>236.87341047162496</v>
      </c>
      <c r="F611" s="239"/>
      <c r="G611" s="188" t="str">
        <f t="shared" si="39"/>
        <v/>
      </c>
      <c r="H611" s="236" t="str">
        <f t="shared" si="40"/>
        <v/>
      </c>
      <c r="I611" s="237"/>
    </row>
    <row r="612" spans="1:9">
      <c r="A612" s="232">
        <f t="shared" si="41"/>
        <v>610</v>
      </c>
      <c r="B612" s="233">
        <v>46054</v>
      </c>
      <c r="C612" s="234">
        <v>179.25360599999999</v>
      </c>
      <c r="D612" s="235">
        <v>221.37039545228757</v>
      </c>
      <c r="E612" s="234">
        <f t="shared" si="42"/>
        <v>179.25360599999999</v>
      </c>
      <c r="F612" s="237"/>
      <c r="G612" s="188" t="str">
        <f t="shared" si="39"/>
        <v/>
      </c>
      <c r="H612" s="236" t="str">
        <f t="shared" si="40"/>
        <v/>
      </c>
      <c r="I612" s="237"/>
    </row>
    <row r="613" spans="1:9">
      <c r="A613" s="232">
        <f t="shared" si="41"/>
        <v>611</v>
      </c>
      <c r="B613" s="233">
        <v>46055</v>
      </c>
      <c r="C613" s="234">
        <v>319.310227</v>
      </c>
      <c r="D613" s="235">
        <v>221.37039545228757</v>
      </c>
      <c r="E613" s="234">
        <f t="shared" si="42"/>
        <v>221.37039545228757</v>
      </c>
      <c r="F613" s="237"/>
      <c r="G613" s="188" t="str">
        <f t="shared" si="39"/>
        <v/>
      </c>
      <c r="H613" s="236" t="str">
        <f t="shared" si="40"/>
        <v/>
      </c>
      <c r="I613" s="237"/>
    </row>
    <row r="614" spans="1:9">
      <c r="A614" s="232">
        <f t="shared" si="41"/>
        <v>612</v>
      </c>
      <c r="B614" s="233">
        <v>46056</v>
      </c>
      <c r="C614" s="234">
        <v>232.593987</v>
      </c>
      <c r="D614" s="235">
        <v>221.37039545228757</v>
      </c>
      <c r="E614" s="234">
        <f t="shared" si="42"/>
        <v>221.37039545228757</v>
      </c>
      <c r="F614" s="239"/>
      <c r="G614" s="188" t="str">
        <f t="shared" si="39"/>
        <v/>
      </c>
      <c r="H614" s="236" t="str">
        <f t="shared" si="40"/>
        <v/>
      </c>
      <c r="I614" s="237"/>
    </row>
    <row r="615" spans="1:9">
      <c r="A615" s="232">
        <f t="shared" si="41"/>
        <v>613</v>
      </c>
      <c r="B615" s="233">
        <v>46057</v>
      </c>
      <c r="C615" s="234">
        <v>336.12292100000002</v>
      </c>
      <c r="D615" s="235">
        <v>221.37039545228757</v>
      </c>
      <c r="E615" s="234">
        <f t="shared" si="42"/>
        <v>221.37039545228757</v>
      </c>
      <c r="F615" s="239"/>
      <c r="G615" s="188" t="str">
        <f t="shared" si="39"/>
        <v/>
      </c>
      <c r="H615" s="236" t="str">
        <f t="shared" si="40"/>
        <v/>
      </c>
      <c r="I615" s="237"/>
    </row>
    <row r="616" spans="1:9">
      <c r="A616" s="232">
        <f t="shared" si="41"/>
        <v>614</v>
      </c>
      <c r="B616" s="233">
        <v>46058</v>
      </c>
      <c r="C616" s="234">
        <v>310.05783500000001</v>
      </c>
      <c r="D616" s="235">
        <v>221.37039545228757</v>
      </c>
      <c r="E616" s="234">
        <f t="shared" si="42"/>
        <v>221.37039545228757</v>
      </c>
      <c r="F616" s="239"/>
      <c r="G616" s="188" t="str">
        <f t="shared" si="39"/>
        <v/>
      </c>
      <c r="H616" s="236" t="str">
        <f t="shared" si="40"/>
        <v/>
      </c>
      <c r="I616" s="237"/>
    </row>
    <row r="617" spans="1:9">
      <c r="A617" s="232">
        <f t="shared" si="41"/>
        <v>615</v>
      </c>
      <c r="B617" s="233">
        <v>46059</v>
      </c>
      <c r="C617" s="234">
        <v>291.30161000000004</v>
      </c>
      <c r="D617" s="235">
        <v>221.37039545228757</v>
      </c>
      <c r="E617" s="234">
        <f t="shared" si="42"/>
        <v>221.37039545228757</v>
      </c>
      <c r="F617" s="239"/>
      <c r="G617" s="188" t="str">
        <f t="shared" si="39"/>
        <v/>
      </c>
      <c r="H617" s="236" t="str">
        <f t="shared" si="40"/>
        <v/>
      </c>
      <c r="I617" s="237"/>
    </row>
    <row r="618" spans="1:9">
      <c r="A618" s="232">
        <f t="shared" si="41"/>
        <v>616</v>
      </c>
      <c r="B618" s="233">
        <v>46060</v>
      </c>
      <c r="C618" s="234">
        <v>253.70182199999999</v>
      </c>
      <c r="D618" s="235">
        <v>221.37039545228757</v>
      </c>
      <c r="E618" s="234">
        <f t="shared" si="42"/>
        <v>221.37039545228757</v>
      </c>
      <c r="F618" s="239"/>
      <c r="G618" s="188" t="str">
        <f t="shared" si="39"/>
        <v/>
      </c>
      <c r="H618" s="236" t="str">
        <f t="shared" si="40"/>
        <v/>
      </c>
      <c r="I618" s="237"/>
    </row>
    <row r="619" spans="1:9">
      <c r="A619" s="232">
        <f t="shared" si="41"/>
        <v>617</v>
      </c>
      <c r="B619" s="233">
        <v>46061</v>
      </c>
      <c r="C619" s="234">
        <v>202.28541300000001</v>
      </c>
      <c r="D619" s="235">
        <v>221.37039545228757</v>
      </c>
      <c r="E619" s="234">
        <f t="shared" si="42"/>
        <v>202.28541300000001</v>
      </c>
      <c r="F619" s="239"/>
      <c r="G619" s="188" t="str">
        <f t="shared" si="39"/>
        <v/>
      </c>
      <c r="H619" s="236" t="str">
        <f t="shared" si="40"/>
        <v/>
      </c>
      <c r="I619" s="237"/>
    </row>
    <row r="620" spans="1:9">
      <c r="A620" s="232">
        <f t="shared" si="41"/>
        <v>618</v>
      </c>
      <c r="B620" s="233">
        <v>46062</v>
      </c>
      <c r="C620" s="234">
        <v>285.731897</v>
      </c>
      <c r="D620" s="235">
        <v>221.37039545228757</v>
      </c>
      <c r="E620" s="234">
        <f t="shared" si="42"/>
        <v>221.37039545228757</v>
      </c>
      <c r="F620" s="239"/>
      <c r="G620" s="188" t="str">
        <f t="shared" si="39"/>
        <v/>
      </c>
      <c r="H620" s="236" t="str">
        <f t="shared" si="40"/>
        <v/>
      </c>
      <c r="I620" s="237"/>
    </row>
    <row r="621" spans="1:9">
      <c r="A621" s="232">
        <f t="shared" si="41"/>
        <v>619</v>
      </c>
      <c r="B621" s="233">
        <v>46063</v>
      </c>
      <c r="C621" s="234">
        <v>362.44361400000003</v>
      </c>
      <c r="D621" s="235">
        <v>221.37039545228757</v>
      </c>
      <c r="E621" s="234">
        <f t="shared" si="42"/>
        <v>221.37039545228757</v>
      </c>
      <c r="F621" s="239"/>
      <c r="G621" s="188" t="str">
        <f t="shared" si="39"/>
        <v/>
      </c>
      <c r="H621" s="236" t="str">
        <f t="shared" si="40"/>
        <v/>
      </c>
      <c r="I621" s="237"/>
    </row>
    <row r="622" spans="1:9">
      <c r="A622" s="232">
        <f t="shared" si="41"/>
        <v>620</v>
      </c>
      <c r="B622" s="233">
        <v>46064</v>
      </c>
      <c r="C622" s="234">
        <v>343.37678900000003</v>
      </c>
      <c r="D622" s="235">
        <v>221.37039545228757</v>
      </c>
      <c r="E622" s="234">
        <f t="shared" si="42"/>
        <v>221.37039545228757</v>
      </c>
      <c r="F622" s="239"/>
      <c r="G622" s="188" t="str">
        <f t="shared" si="39"/>
        <v/>
      </c>
      <c r="H622" s="236" t="str">
        <f t="shared" si="40"/>
        <v/>
      </c>
      <c r="I622" s="237"/>
    </row>
    <row r="623" spans="1:9">
      <c r="A623" s="232">
        <f t="shared" si="41"/>
        <v>621</v>
      </c>
      <c r="B623" s="233">
        <v>46065</v>
      </c>
      <c r="C623" s="234">
        <v>303.91168599999997</v>
      </c>
      <c r="D623" s="235">
        <v>221.37039545228757</v>
      </c>
      <c r="E623" s="234">
        <f t="shared" si="42"/>
        <v>221.37039545228757</v>
      </c>
      <c r="F623" s="239"/>
      <c r="G623" s="188" t="str">
        <f t="shared" si="39"/>
        <v/>
      </c>
      <c r="H623" s="236" t="str">
        <f t="shared" si="40"/>
        <v/>
      </c>
      <c r="I623" s="237"/>
    </row>
    <row r="624" spans="1:9">
      <c r="A624" s="232">
        <f t="shared" si="41"/>
        <v>622</v>
      </c>
      <c r="B624" s="233">
        <v>46066</v>
      </c>
      <c r="C624" s="234">
        <v>337.03598599999998</v>
      </c>
      <c r="D624" s="235">
        <v>221.37039545228757</v>
      </c>
      <c r="E624" s="234">
        <f t="shared" si="42"/>
        <v>221.37039545228757</v>
      </c>
      <c r="F624" s="239"/>
      <c r="G624" s="188" t="str">
        <f t="shared" si="39"/>
        <v/>
      </c>
      <c r="H624" s="236" t="str">
        <f t="shared" si="40"/>
        <v/>
      </c>
      <c r="I624" s="237"/>
    </row>
    <row r="625" spans="1:9">
      <c r="A625" s="232">
        <f t="shared" si="41"/>
        <v>623</v>
      </c>
      <c r="B625" s="233">
        <v>46067</v>
      </c>
      <c r="C625" s="234">
        <v>259.86732000000001</v>
      </c>
      <c r="D625" s="235">
        <v>221.37039545228757</v>
      </c>
      <c r="E625" s="234">
        <f t="shared" si="42"/>
        <v>221.37039545228757</v>
      </c>
      <c r="F625" s="239"/>
      <c r="G625" s="188" t="str">
        <f t="shared" si="39"/>
        <v/>
      </c>
      <c r="H625" s="236" t="str">
        <f t="shared" si="40"/>
        <v/>
      </c>
      <c r="I625" s="237"/>
    </row>
    <row r="626" spans="1:9">
      <c r="A626" s="232">
        <f t="shared" si="41"/>
        <v>624</v>
      </c>
      <c r="B626" s="233">
        <v>46068</v>
      </c>
      <c r="C626" s="234">
        <v>259.80589199999997</v>
      </c>
      <c r="D626" s="235">
        <v>221.37039545228757</v>
      </c>
      <c r="E626" s="234">
        <f t="shared" si="42"/>
        <v>221.37039545228757</v>
      </c>
      <c r="F626" s="239"/>
      <c r="G626" s="188" t="str">
        <f t="shared" si="39"/>
        <v>F</v>
      </c>
      <c r="H626" s="236" t="str">
        <f t="shared" si="40"/>
        <v>221,4</v>
      </c>
      <c r="I626" s="237"/>
    </row>
    <row r="627" spans="1:9">
      <c r="A627" s="232">
        <f t="shared" si="41"/>
        <v>625</v>
      </c>
      <c r="B627" s="233">
        <v>46069</v>
      </c>
      <c r="C627" s="234">
        <v>342.63470799999999</v>
      </c>
      <c r="D627" s="235">
        <v>221.37039545228757</v>
      </c>
      <c r="E627" s="234">
        <f t="shared" si="42"/>
        <v>221.37039545228757</v>
      </c>
      <c r="F627" s="239"/>
      <c r="G627" s="188" t="str">
        <f t="shared" si="39"/>
        <v/>
      </c>
      <c r="H627" s="236" t="str">
        <f t="shared" si="40"/>
        <v/>
      </c>
      <c r="I627" s="237"/>
    </row>
    <row r="628" spans="1:9">
      <c r="A628" s="232">
        <f t="shared" si="41"/>
        <v>626</v>
      </c>
      <c r="B628" s="233">
        <v>46070</v>
      </c>
      <c r="C628" s="234">
        <v>252.68268700000002</v>
      </c>
      <c r="D628" s="235">
        <v>221.37039545228757</v>
      </c>
      <c r="E628" s="234">
        <f t="shared" si="42"/>
        <v>221.37039545228757</v>
      </c>
      <c r="F628" s="239"/>
      <c r="G628" s="188" t="str">
        <f t="shared" si="39"/>
        <v/>
      </c>
      <c r="H628" s="236" t="str">
        <f t="shared" si="40"/>
        <v/>
      </c>
      <c r="I628" s="237"/>
    </row>
    <row r="629" spans="1:9">
      <c r="A629" s="232">
        <f t="shared" si="41"/>
        <v>627</v>
      </c>
      <c r="B629" s="233">
        <v>46071</v>
      </c>
      <c r="C629" s="234">
        <v>300.71581200000003</v>
      </c>
      <c r="D629" s="235">
        <v>221.37039545228757</v>
      </c>
      <c r="E629" s="234">
        <f t="shared" si="42"/>
        <v>221.37039545228757</v>
      </c>
      <c r="F629" s="239"/>
      <c r="G629" s="188" t="str">
        <f t="shared" si="39"/>
        <v/>
      </c>
      <c r="H629" s="236" t="str">
        <f t="shared" si="40"/>
        <v/>
      </c>
      <c r="I629" s="237"/>
    </row>
    <row r="630" spans="1:9">
      <c r="A630" s="232">
        <f t="shared" si="41"/>
        <v>628</v>
      </c>
      <c r="B630" s="233">
        <v>46072</v>
      </c>
      <c r="C630" s="234">
        <v>279.45362</v>
      </c>
      <c r="D630" s="235">
        <v>221.37039545228757</v>
      </c>
      <c r="E630" s="234">
        <f t="shared" si="42"/>
        <v>221.37039545228757</v>
      </c>
      <c r="F630" s="239"/>
      <c r="G630" s="188" t="str">
        <f t="shared" si="39"/>
        <v/>
      </c>
      <c r="H630" s="236" t="str">
        <f t="shared" si="40"/>
        <v/>
      </c>
      <c r="I630" s="237"/>
    </row>
    <row r="631" spans="1:9">
      <c r="A631" s="232">
        <f t="shared" si="41"/>
        <v>629</v>
      </c>
      <c r="B631" s="233">
        <v>46073</v>
      </c>
      <c r="C631" s="234">
        <v>190.55159900000001</v>
      </c>
      <c r="D631" s="235">
        <v>221.37039545228757</v>
      </c>
      <c r="E631" s="234">
        <f t="shared" si="42"/>
        <v>190.55159900000001</v>
      </c>
      <c r="F631" s="239"/>
      <c r="G631" s="188" t="str">
        <f t="shared" si="39"/>
        <v/>
      </c>
      <c r="H631" s="236" t="str">
        <f t="shared" si="40"/>
        <v/>
      </c>
      <c r="I631" s="237"/>
    </row>
    <row r="632" spans="1:9">
      <c r="A632" s="232">
        <f t="shared" si="41"/>
        <v>630</v>
      </c>
      <c r="B632" s="233">
        <v>46074</v>
      </c>
      <c r="C632" s="234">
        <v>61.297213999999997</v>
      </c>
      <c r="D632" s="235">
        <v>221.37039545228757</v>
      </c>
      <c r="E632" s="234">
        <f t="shared" si="42"/>
        <v>61.297213999999997</v>
      </c>
      <c r="F632" s="239"/>
      <c r="G632" s="188" t="str">
        <f t="shared" si="39"/>
        <v/>
      </c>
      <c r="H632" s="236" t="str">
        <f t="shared" si="40"/>
        <v/>
      </c>
      <c r="I632" s="237"/>
    </row>
    <row r="633" spans="1:9">
      <c r="A633" s="232">
        <f t="shared" si="41"/>
        <v>631</v>
      </c>
      <c r="B633" s="233">
        <v>46075</v>
      </c>
      <c r="C633" s="234">
        <v>36.539241000000004</v>
      </c>
      <c r="D633" s="235">
        <v>221.37039545228757</v>
      </c>
      <c r="E633" s="234">
        <f t="shared" si="42"/>
        <v>36.539241000000004</v>
      </c>
      <c r="F633" s="239"/>
      <c r="G633" s="188" t="str">
        <f t="shared" si="39"/>
        <v/>
      </c>
      <c r="H633" s="236" t="str">
        <f t="shared" si="40"/>
        <v/>
      </c>
      <c r="I633" s="237"/>
    </row>
    <row r="634" spans="1:9">
      <c r="A634" s="232">
        <f t="shared" si="41"/>
        <v>632</v>
      </c>
      <c r="B634" s="233">
        <v>46076</v>
      </c>
      <c r="C634" s="234">
        <v>32.086672999999998</v>
      </c>
      <c r="D634" s="235">
        <v>221.37039545228757</v>
      </c>
      <c r="E634" s="234">
        <f t="shared" si="42"/>
        <v>32.086672999999998</v>
      </c>
      <c r="F634" s="239"/>
      <c r="G634" s="188" t="str">
        <f t="shared" si="39"/>
        <v/>
      </c>
      <c r="H634" s="236" t="str">
        <f t="shared" si="40"/>
        <v/>
      </c>
      <c r="I634" s="237"/>
    </row>
    <row r="635" spans="1:9">
      <c r="A635" s="232">
        <f t="shared" si="41"/>
        <v>633</v>
      </c>
      <c r="B635" s="233">
        <v>46077</v>
      </c>
      <c r="C635" s="234">
        <v>90.482468999999995</v>
      </c>
      <c r="D635" s="235">
        <v>221.37039545228757</v>
      </c>
      <c r="E635" s="234">
        <f t="shared" si="42"/>
        <v>90.482468999999995</v>
      </c>
      <c r="F635" s="239"/>
      <c r="G635" s="188" t="str">
        <f t="shared" si="39"/>
        <v/>
      </c>
      <c r="H635" s="236" t="str">
        <f t="shared" si="40"/>
        <v/>
      </c>
      <c r="I635" s="237"/>
    </row>
    <row r="636" spans="1:9">
      <c r="A636" s="232">
        <f t="shared" si="41"/>
        <v>634</v>
      </c>
      <c r="B636" s="233">
        <v>46078</v>
      </c>
      <c r="C636" s="234">
        <v>87.28028900000001</v>
      </c>
      <c r="D636" s="235">
        <v>221.37039545228757</v>
      </c>
      <c r="E636" s="234">
        <f t="shared" si="42"/>
        <v>87.28028900000001</v>
      </c>
      <c r="F636" s="239"/>
      <c r="G636" s="188" t="str">
        <f t="shared" si="39"/>
        <v/>
      </c>
      <c r="H636" s="236" t="str">
        <f t="shared" si="40"/>
        <v/>
      </c>
      <c r="I636" s="237"/>
    </row>
    <row r="637" spans="1:9">
      <c r="A637" s="232">
        <f t="shared" si="41"/>
        <v>635</v>
      </c>
      <c r="B637" s="233">
        <v>46079</v>
      </c>
      <c r="C637" s="234">
        <v>77.833936000000008</v>
      </c>
      <c r="D637" s="235">
        <v>221.37039545228757</v>
      </c>
      <c r="E637" s="234">
        <f t="shared" si="42"/>
        <v>77.833936000000008</v>
      </c>
      <c r="F637" s="239"/>
      <c r="G637" s="188" t="str">
        <f t="shared" si="39"/>
        <v/>
      </c>
      <c r="H637" s="236" t="str">
        <f t="shared" si="40"/>
        <v/>
      </c>
      <c r="I637" s="237"/>
    </row>
    <row r="638" spans="1:9">
      <c r="A638" s="232">
        <f t="shared" si="41"/>
        <v>636</v>
      </c>
      <c r="B638" s="233">
        <v>46080</v>
      </c>
      <c r="C638" s="234">
        <v>120.428956</v>
      </c>
      <c r="D638" s="235">
        <v>221.37039545228757</v>
      </c>
      <c r="E638" s="234">
        <f t="shared" si="42"/>
        <v>120.428956</v>
      </c>
      <c r="F638" s="239"/>
      <c r="G638" s="188" t="str">
        <f t="shared" si="39"/>
        <v/>
      </c>
      <c r="H638" s="236" t="str">
        <f t="shared" si="40"/>
        <v/>
      </c>
      <c r="I638" s="237"/>
    </row>
    <row r="639" spans="1:9">
      <c r="A639" s="232">
        <f t="shared" si="41"/>
        <v>637</v>
      </c>
      <c r="B639" s="233">
        <v>46081</v>
      </c>
      <c r="C639" s="234">
        <v>109.41116000000001</v>
      </c>
      <c r="D639" s="235">
        <v>221.37039545228757</v>
      </c>
      <c r="E639" s="234">
        <f t="shared" si="42"/>
        <v>109.41116000000001</v>
      </c>
      <c r="F639" s="239"/>
      <c r="G639" s="188" t="str">
        <f t="shared" si="39"/>
        <v/>
      </c>
      <c r="H639" s="236" t="str">
        <f t="shared" si="40"/>
        <v/>
      </c>
      <c r="I639" s="237"/>
    </row>
    <row r="640" spans="1:9">
      <c r="A640" s="232">
        <f t="shared" si="41"/>
        <v>638</v>
      </c>
      <c r="B640" s="233">
        <v>46082</v>
      </c>
      <c r="C640" s="234">
        <v>113.383557</v>
      </c>
      <c r="D640" s="235">
        <v>238.10762487763043</v>
      </c>
      <c r="E640" s="234">
        <f t="shared" si="42"/>
        <v>113.383557</v>
      </c>
      <c r="F640" s="239"/>
      <c r="G640" s="188" t="str">
        <f t="shared" si="39"/>
        <v/>
      </c>
      <c r="H640" s="236" t="str">
        <f t="shared" si="40"/>
        <v/>
      </c>
      <c r="I640" s="237"/>
    </row>
    <row r="641" spans="1:9">
      <c r="A641" s="232">
        <f t="shared" si="41"/>
        <v>639</v>
      </c>
      <c r="B641" s="233">
        <v>46083</v>
      </c>
      <c r="C641" s="234">
        <v>227.50562599999998</v>
      </c>
      <c r="D641" s="235">
        <v>238.10762487763043</v>
      </c>
      <c r="E641" s="234">
        <f t="shared" si="42"/>
        <v>227.50562599999998</v>
      </c>
      <c r="F641" s="239"/>
      <c r="G641" s="188" t="str">
        <f t="shared" si="39"/>
        <v/>
      </c>
      <c r="H641" s="236" t="str">
        <f t="shared" si="40"/>
        <v/>
      </c>
      <c r="I641" s="237"/>
    </row>
    <row r="642" spans="1:9">
      <c r="A642" s="232">
        <f t="shared" si="41"/>
        <v>640</v>
      </c>
      <c r="B642" s="233">
        <v>46084</v>
      </c>
      <c r="C642" s="234">
        <v>209.14020199999999</v>
      </c>
      <c r="D642" s="235">
        <v>238.10762487763043</v>
      </c>
      <c r="E642" s="234">
        <f t="shared" si="42"/>
        <v>209.14020199999999</v>
      </c>
      <c r="F642" s="237"/>
      <c r="G642" s="188" t="str">
        <f t="shared" si="39"/>
        <v/>
      </c>
      <c r="H642" s="236" t="str">
        <f t="shared" si="40"/>
        <v/>
      </c>
      <c r="I642" s="237"/>
    </row>
    <row r="643" spans="1:9">
      <c r="A643" s="232">
        <f t="shared" si="41"/>
        <v>641</v>
      </c>
      <c r="B643" s="233">
        <v>46085</v>
      </c>
      <c r="C643" s="234">
        <v>185.902286</v>
      </c>
      <c r="D643" s="235">
        <v>238.10762487763043</v>
      </c>
      <c r="E643" s="234">
        <f t="shared" si="42"/>
        <v>185.902286</v>
      </c>
      <c r="F643" s="237"/>
      <c r="G643" s="188" t="str">
        <f t="shared" ref="G643:G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s="236" t="str">
        <f t="shared" ref="H643:H706" si="44">IF(DAY($B643)=15,TEXT(D643,"#,0"),"")</f>
        <v/>
      </c>
      <c r="I643" s="237"/>
    </row>
    <row r="644" spans="1:9">
      <c r="A644" s="232">
        <f t="shared" si="41"/>
        <v>642</v>
      </c>
      <c r="B644" s="233">
        <v>46086</v>
      </c>
      <c r="C644" s="234">
        <v>145.03620999999998</v>
      </c>
      <c r="D644" s="235">
        <v>238.10762487763043</v>
      </c>
      <c r="E644" s="234">
        <f t="shared" si="42"/>
        <v>145.03620999999998</v>
      </c>
      <c r="F644" s="239"/>
      <c r="G644" s="188" t="str">
        <f t="shared" si="43"/>
        <v/>
      </c>
      <c r="H644" s="236" t="str">
        <f t="shared" si="44"/>
        <v/>
      </c>
      <c r="I644" s="237"/>
    </row>
    <row r="645" spans="1:9">
      <c r="A645" s="232">
        <f t="shared" si="41"/>
        <v>643</v>
      </c>
      <c r="B645" s="233">
        <v>46087</v>
      </c>
      <c r="C645" s="234">
        <v>288.30352600000003</v>
      </c>
      <c r="D645" s="235">
        <v>238.10762487763043</v>
      </c>
      <c r="E645" s="234">
        <f t="shared" si="42"/>
        <v>238.10762487763043</v>
      </c>
      <c r="F645" s="239"/>
      <c r="G645" s="188" t="str">
        <f t="shared" si="43"/>
        <v/>
      </c>
      <c r="H645" s="236" t="str">
        <f t="shared" si="44"/>
        <v/>
      </c>
      <c r="I645" s="237"/>
    </row>
    <row r="646" spans="1:9">
      <c r="A646" s="232">
        <f t="shared" si="41"/>
        <v>644</v>
      </c>
      <c r="B646" s="233">
        <v>46088</v>
      </c>
      <c r="C646" s="234">
        <v>142.02393700000002</v>
      </c>
      <c r="D646" s="235">
        <v>238.10762487763043</v>
      </c>
      <c r="E646" s="234">
        <f t="shared" si="42"/>
        <v>142.02393700000002</v>
      </c>
      <c r="F646" s="239"/>
      <c r="G646" s="188" t="str">
        <f t="shared" si="43"/>
        <v/>
      </c>
      <c r="H646" s="236" t="str">
        <f t="shared" si="44"/>
        <v/>
      </c>
      <c r="I646" s="237"/>
    </row>
    <row r="647" spans="1:9">
      <c r="A647" s="232">
        <f t="shared" si="41"/>
        <v>645</v>
      </c>
      <c r="B647" s="233">
        <v>46089</v>
      </c>
      <c r="C647" s="234">
        <v>19.999534000000001</v>
      </c>
      <c r="D647" s="235">
        <v>238.10762487763043</v>
      </c>
      <c r="E647" s="234">
        <f t="shared" si="42"/>
        <v>19.999534000000001</v>
      </c>
      <c r="F647" s="239"/>
      <c r="G647" s="188" t="str">
        <f t="shared" si="43"/>
        <v/>
      </c>
      <c r="H647" s="236" t="str">
        <f t="shared" si="44"/>
        <v/>
      </c>
      <c r="I647" s="237"/>
    </row>
    <row r="648" spans="1:9">
      <c r="A648" s="232">
        <f t="shared" si="41"/>
        <v>646</v>
      </c>
      <c r="B648" s="233">
        <v>46090</v>
      </c>
      <c r="C648" s="234">
        <v>56.807061999999995</v>
      </c>
      <c r="D648" s="235">
        <v>238.10762487763043</v>
      </c>
      <c r="E648" s="234">
        <f t="shared" si="42"/>
        <v>56.807061999999995</v>
      </c>
      <c r="F648" s="239"/>
      <c r="G648" s="188" t="str">
        <f t="shared" si="43"/>
        <v/>
      </c>
      <c r="H648" s="236" t="str">
        <f t="shared" si="44"/>
        <v/>
      </c>
      <c r="I648" s="237"/>
    </row>
    <row r="649" spans="1:9">
      <c r="A649" s="232">
        <f t="shared" si="41"/>
        <v>647</v>
      </c>
      <c r="B649" s="233">
        <v>46091</v>
      </c>
      <c r="C649" s="234">
        <v>56.208468000000003</v>
      </c>
      <c r="D649" s="235">
        <v>238.10762487763043</v>
      </c>
      <c r="E649" s="234">
        <f t="shared" si="42"/>
        <v>56.208468000000003</v>
      </c>
      <c r="F649" s="239"/>
      <c r="G649" s="188" t="str">
        <f t="shared" si="43"/>
        <v/>
      </c>
      <c r="H649" s="236" t="str">
        <f t="shared" si="44"/>
        <v/>
      </c>
      <c r="I649" s="237"/>
    </row>
    <row r="650" spans="1:9">
      <c r="A650" s="232">
        <f t="shared" si="41"/>
        <v>648</v>
      </c>
      <c r="B650" s="233">
        <v>46092</v>
      </c>
      <c r="C650" s="234">
        <v>43.091881000000001</v>
      </c>
      <c r="D650" s="235">
        <v>238.10762487763043</v>
      </c>
      <c r="E650" s="234">
        <f t="shared" si="42"/>
        <v>43.091881000000001</v>
      </c>
      <c r="F650" s="239"/>
      <c r="G650" s="188" t="str">
        <f t="shared" si="43"/>
        <v/>
      </c>
      <c r="H650" s="236" t="str">
        <f t="shared" si="44"/>
        <v/>
      </c>
      <c r="I650" s="237"/>
    </row>
    <row r="651" spans="1:9">
      <c r="A651" s="232">
        <f t="shared" si="41"/>
        <v>649</v>
      </c>
      <c r="B651" s="233">
        <v>46093</v>
      </c>
      <c r="C651" s="234">
        <v>73.909861000000006</v>
      </c>
      <c r="D651" s="235">
        <v>238.10762487763043</v>
      </c>
      <c r="E651" s="234">
        <f t="shared" si="42"/>
        <v>73.909861000000006</v>
      </c>
      <c r="F651" s="239"/>
      <c r="G651" s="188" t="str">
        <f t="shared" si="43"/>
        <v/>
      </c>
      <c r="H651" s="236" t="str">
        <f t="shared" si="44"/>
        <v/>
      </c>
      <c r="I651" s="237"/>
    </row>
    <row r="652" spans="1:9">
      <c r="A652" s="232">
        <f t="shared" si="41"/>
        <v>650</v>
      </c>
      <c r="B652" s="233">
        <v>46094</v>
      </c>
      <c r="C652" s="234">
        <v>173.74593299999998</v>
      </c>
      <c r="D652" s="235">
        <v>238.10762487763043</v>
      </c>
      <c r="E652" s="234">
        <f t="shared" si="42"/>
        <v>173.74593299999998</v>
      </c>
      <c r="F652" s="239"/>
      <c r="G652" s="188" t="str">
        <f t="shared" si="43"/>
        <v/>
      </c>
      <c r="H652" s="236" t="str">
        <f t="shared" si="44"/>
        <v/>
      </c>
      <c r="I652" s="237"/>
    </row>
    <row r="653" spans="1:9">
      <c r="A653" s="232">
        <f t="shared" si="41"/>
        <v>651</v>
      </c>
      <c r="B653" s="233">
        <v>46095</v>
      </c>
      <c r="C653" s="234">
        <v>294.312118</v>
      </c>
      <c r="D653" s="235">
        <v>238.10762487763043</v>
      </c>
      <c r="E653" s="234">
        <f t="shared" si="42"/>
        <v>238.10762487763043</v>
      </c>
      <c r="F653" s="239"/>
      <c r="G653" s="188" t="str">
        <f t="shared" si="43"/>
        <v/>
      </c>
      <c r="H653" s="236" t="str">
        <f t="shared" si="44"/>
        <v/>
      </c>
      <c r="I653" s="237"/>
    </row>
    <row r="654" spans="1:9">
      <c r="A654" s="232">
        <f t="shared" si="41"/>
        <v>652</v>
      </c>
      <c r="B654" s="233">
        <v>46096</v>
      </c>
      <c r="C654" s="234">
        <v>200.180316</v>
      </c>
      <c r="D654" s="235">
        <v>238.10762487763043</v>
      </c>
      <c r="E654" s="234">
        <f t="shared" si="42"/>
        <v>200.180316</v>
      </c>
      <c r="F654" s="239"/>
      <c r="G654" s="188" t="str">
        <f t="shared" si="43"/>
        <v>M</v>
      </c>
      <c r="H654" s="236" t="str">
        <f t="shared" si="44"/>
        <v>238,1</v>
      </c>
      <c r="I654" s="237"/>
    </row>
    <row r="655" spans="1:9">
      <c r="A655" s="232">
        <f t="shared" si="41"/>
        <v>653</v>
      </c>
      <c r="B655" s="233">
        <v>46097</v>
      </c>
      <c r="C655" s="234">
        <v>153.60093600000002</v>
      </c>
      <c r="D655" s="235">
        <v>238.10762487763043</v>
      </c>
      <c r="E655" s="234">
        <f t="shared" si="42"/>
        <v>153.60093600000002</v>
      </c>
      <c r="F655" s="239"/>
      <c r="G655" s="188" t="str">
        <f t="shared" si="43"/>
        <v/>
      </c>
      <c r="H655" s="236" t="str">
        <f t="shared" si="44"/>
        <v/>
      </c>
      <c r="I655" s="237"/>
    </row>
    <row r="656" spans="1:9">
      <c r="A656" s="232">
        <f t="shared" si="41"/>
        <v>654</v>
      </c>
      <c r="B656" s="233">
        <v>46098</v>
      </c>
      <c r="C656" s="234">
        <v>108.16517599999999</v>
      </c>
      <c r="D656" s="235">
        <v>238.10762487763043</v>
      </c>
      <c r="E656" s="234">
        <f t="shared" si="42"/>
        <v>108.16517599999999</v>
      </c>
      <c r="F656" s="239"/>
      <c r="G656" s="188" t="str">
        <f t="shared" si="43"/>
        <v/>
      </c>
      <c r="H656" s="236" t="str">
        <f t="shared" si="44"/>
        <v/>
      </c>
      <c r="I656" s="237"/>
    </row>
    <row r="657" spans="1:9">
      <c r="A657" s="232">
        <f t="shared" si="41"/>
        <v>655</v>
      </c>
      <c r="B657" s="233">
        <v>46099</v>
      </c>
      <c r="C657" s="234">
        <v>100.39067</v>
      </c>
      <c r="D657" s="235">
        <v>238.10762487763043</v>
      </c>
      <c r="E657" s="234">
        <f t="shared" si="42"/>
        <v>100.39067</v>
      </c>
      <c r="F657" s="239"/>
      <c r="G657" s="188" t="str">
        <f t="shared" si="43"/>
        <v/>
      </c>
      <c r="H657" s="236" t="str">
        <f t="shared" si="44"/>
        <v/>
      </c>
      <c r="I657" s="237"/>
    </row>
    <row r="658" spans="1:9">
      <c r="A658" s="232">
        <f t="shared" si="41"/>
        <v>656</v>
      </c>
      <c r="B658" s="233">
        <v>46100</v>
      </c>
      <c r="C658" s="234">
        <v>201.574048</v>
      </c>
      <c r="D658" s="235">
        <v>238.10762487763043</v>
      </c>
      <c r="E658" s="234">
        <f t="shared" si="42"/>
        <v>201.574048</v>
      </c>
      <c r="F658" s="239"/>
      <c r="G658" s="188" t="str">
        <f t="shared" si="43"/>
        <v/>
      </c>
      <c r="H658" s="236" t="str">
        <f t="shared" si="44"/>
        <v/>
      </c>
      <c r="I658" s="237"/>
    </row>
    <row r="659" spans="1:9">
      <c r="A659" s="232">
        <f t="shared" si="41"/>
        <v>657</v>
      </c>
      <c r="B659" s="233">
        <v>46101</v>
      </c>
      <c r="C659" s="234">
        <v>181.97926199999998</v>
      </c>
      <c r="D659" s="235">
        <v>238.10762487763043</v>
      </c>
      <c r="E659" s="234">
        <f t="shared" si="42"/>
        <v>181.97926199999998</v>
      </c>
      <c r="F659" s="239"/>
      <c r="G659" s="188" t="str">
        <f t="shared" si="43"/>
        <v/>
      </c>
      <c r="H659" s="236" t="str">
        <f t="shared" si="44"/>
        <v/>
      </c>
      <c r="I659" s="237"/>
    </row>
    <row r="660" spans="1:9">
      <c r="A660" s="232">
        <f t="shared" si="41"/>
        <v>658</v>
      </c>
      <c r="B660" s="233">
        <v>46102</v>
      </c>
      <c r="C660" s="234">
        <v>72.705559999999991</v>
      </c>
      <c r="D660" s="235">
        <v>238.10762487763043</v>
      </c>
      <c r="E660" s="234">
        <f t="shared" si="42"/>
        <v>72.705559999999991</v>
      </c>
      <c r="F660" s="239"/>
      <c r="G660" s="188" t="str">
        <f t="shared" si="43"/>
        <v/>
      </c>
      <c r="H660" s="236" t="str">
        <f t="shared" si="44"/>
        <v/>
      </c>
      <c r="I660" s="237"/>
    </row>
    <row r="661" spans="1:9">
      <c r="A661" s="232">
        <f t="shared" si="41"/>
        <v>659</v>
      </c>
      <c r="B661" s="233">
        <v>46103</v>
      </c>
      <c r="C661" s="234">
        <v>114.395635</v>
      </c>
      <c r="D661" s="235">
        <v>238.10762487763043</v>
      </c>
      <c r="E661" s="234">
        <f t="shared" si="42"/>
        <v>114.395635</v>
      </c>
      <c r="F661" s="239"/>
      <c r="G661" s="188" t="str">
        <f t="shared" si="43"/>
        <v/>
      </c>
      <c r="H661" s="236" t="str">
        <f t="shared" si="44"/>
        <v/>
      </c>
      <c r="I661" s="237"/>
    </row>
    <row r="662" spans="1:9">
      <c r="A662" s="232">
        <f t="shared" si="41"/>
        <v>660</v>
      </c>
      <c r="B662" s="233">
        <v>46104</v>
      </c>
      <c r="C662" s="234">
        <v>180.97240199999999</v>
      </c>
      <c r="D662" s="235">
        <v>238.10762487763043</v>
      </c>
      <c r="E662" s="234">
        <f t="shared" si="42"/>
        <v>180.97240199999999</v>
      </c>
      <c r="F662" s="239"/>
      <c r="G662" s="188" t="str">
        <f t="shared" si="43"/>
        <v/>
      </c>
      <c r="H662" s="236" t="str">
        <f t="shared" si="44"/>
        <v/>
      </c>
      <c r="I662" s="237"/>
    </row>
    <row r="663" spans="1:9">
      <c r="A663" s="232">
        <f t="shared" ref="A663:A726" si="45">+A662+1</f>
        <v>661</v>
      </c>
      <c r="B663" s="233">
        <v>46105</v>
      </c>
      <c r="C663" s="234">
        <v>73.448057999999989</v>
      </c>
      <c r="D663" s="235">
        <v>238.10762487763043</v>
      </c>
      <c r="E663" s="234">
        <f t="shared" ref="E663:E726" si="46">IF(C663&gt;D663,D663,C663)</f>
        <v>73.448057999999989</v>
      </c>
      <c r="F663" s="239"/>
      <c r="G663" s="188" t="str">
        <f t="shared" si="43"/>
        <v/>
      </c>
      <c r="H663" s="236" t="str">
        <f t="shared" si="44"/>
        <v/>
      </c>
      <c r="I663" s="237"/>
    </row>
    <row r="664" spans="1:9">
      <c r="A664" s="232">
        <f t="shared" si="45"/>
        <v>662</v>
      </c>
      <c r="B664" s="233">
        <v>46106</v>
      </c>
      <c r="C664" s="234">
        <v>186.46900600000001</v>
      </c>
      <c r="D664" s="235">
        <v>238.10762487763043</v>
      </c>
      <c r="E664" s="234">
        <f t="shared" si="46"/>
        <v>186.46900600000001</v>
      </c>
      <c r="F664" s="239"/>
      <c r="G664" s="188" t="str">
        <f t="shared" si="43"/>
        <v/>
      </c>
      <c r="H664" s="236" t="str">
        <f t="shared" si="44"/>
        <v/>
      </c>
      <c r="I664" s="237"/>
    </row>
    <row r="665" spans="1:9">
      <c r="A665" s="232">
        <f t="shared" si="45"/>
        <v>663</v>
      </c>
      <c r="B665" s="233">
        <v>46107</v>
      </c>
      <c r="C665" s="234">
        <v>272.05592899999999</v>
      </c>
      <c r="D665" s="235">
        <v>238.10762487763043</v>
      </c>
      <c r="E665" s="234">
        <f t="shared" si="46"/>
        <v>238.10762487763043</v>
      </c>
      <c r="F665" s="239"/>
      <c r="G665" s="188" t="str">
        <f t="shared" si="43"/>
        <v/>
      </c>
      <c r="H665" s="236" t="str">
        <f t="shared" si="44"/>
        <v/>
      </c>
      <c r="I665" s="237"/>
    </row>
    <row r="666" spans="1:9">
      <c r="A666" s="232">
        <f t="shared" si="45"/>
        <v>664</v>
      </c>
      <c r="B666" s="233">
        <v>46108</v>
      </c>
      <c r="C666" s="234">
        <v>257.428496</v>
      </c>
      <c r="D666" s="235">
        <v>238.10762487763043</v>
      </c>
      <c r="E666" s="234">
        <f t="shared" si="46"/>
        <v>238.10762487763043</v>
      </c>
      <c r="F666" s="239"/>
      <c r="G666" s="188" t="str">
        <f t="shared" si="43"/>
        <v/>
      </c>
      <c r="H666" s="236" t="str">
        <f t="shared" si="44"/>
        <v/>
      </c>
      <c r="I666" s="237"/>
    </row>
    <row r="667" spans="1:9">
      <c r="A667" s="232">
        <f t="shared" si="45"/>
        <v>665</v>
      </c>
      <c r="B667" s="233">
        <v>46109</v>
      </c>
      <c r="C667" s="234">
        <v>257.33131399999996</v>
      </c>
      <c r="D667" s="235">
        <v>238.10762487763043</v>
      </c>
      <c r="E667" s="234">
        <f t="shared" si="46"/>
        <v>238.10762487763043</v>
      </c>
      <c r="F667" s="239"/>
      <c r="G667" s="188" t="str">
        <f t="shared" si="43"/>
        <v/>
      </c>
      <c r="H667" s="236" t="str">
        <f t="shared" si="44"/>
        <v/>
      </c>
      <c r="I667" s="237"/>
    </row>
    <row r="668" spans="1:9">
      <c r="A668" s="232">
        <f t="shared" si="45"/>
        <v>666</v>
      </c>
      <c r="B668" s="233">
        <v>46110</v>
      </c>
      <c r="C668" s="234">
        <v>231.87094500000001</v>
      </c>
      <c r="D668" s="235">
        <v>238.10762487763043</v>
      </c>
      <c r="E668" s="234">
        <f t="shared" si="46"/>
        <v>231.87094500000001</v>
      </c>
      <c r="F668" s="239"/>
      <c r="G668" s="188" t="str">
        <f t="shared" si="43"/>
        <v/>
      </c>
      <c r="H668" s="236" t="str">
        <f t="shared" si="44"/>
        <v/>
      </c>
      <c r="I668" s="237"/>
    </row>
    <row r="669" spans="1:9">
      <c r="A669" s="232">
        <f t="shared" si="45"/>
        <v>667</v>
      </c>
      <c r="B669" s="233">
        <v>46111</v>
      </c>
      <c r="C669" s="234">
        <v>243.59451100000001</v>
      </c>
      <c r="D669" s="235">
        <v>238.10762487763043</v>
      </c>
      <c r="E669" s="234">
        <f t="shared" si="46"/>
        <v>238.10762487763043</v>
      </c>
      <c r="F669" s="239"/>
      <c r="G669" s="188" t="str">
        <f t="shared" si="43"/>
        <v/>
      </c>
      <c r="H669" s="236" t="str">
        <f t="shared" si="44"/>
        <v/>
      </c>
      <c r="I669" s="237"/>
    </row>
    <row r="670" spans="1:9">
      <c r="A670" s="232">
        <f t="shared" si="45"/>
        <v>668</v>
      </c>
      <c r="B670" s="233">
        <v>46112</v>
      </c>
      <c r="C670" s="234">
        <v>290.33657099999999</v>
      </c>
      <c r="D670" s="235">
        <v>238.10762487763043</v>
      </c>
      <c r="E670" s="234">
        <f t="shared" si="46"/>
        <v>238.10762487763043</v>
      </c>
      <c r="F670" s="239"/>
      <c r="G670" s="188" t="str">
        <f t="shared" si="43"/>
        <v/>
      </c>
      <c r="H670" s="236" t="str">
        <f t="shared" si="44"/>
        <v/>
      </c>
      <c r="I670" s="237"/>
    </row>
    <row r="671" spans="1:9">
      <c r="A671" s="232">
        <f t="shared" si="45"/>
        <v>669</v>
      </c>
      <c r="B671" s="233">
        <v>46113</v>
      </c>
      <c r="C671" s="234">
        <v>276.62244699999997</v>
      </c>
      <c r="D671" s="235">
        <v>185.36116679030002</v>
      </c>
      <c r="E671" s="234">
        <f t="shared" si="46"/>
        <v>185.36116679030002</v>
      </c>
      <c r="F671" s="239"/>
      <c r="G671" s="188" t="str">
        <f t="shared" si="43"/>
        <v/>
      </c>
      <c r="H671" s="236" t="str">
        <f t="shared" si="44"/>
        <v/>
      </c>
      <c r="I671" s="237"/>
    </row>
    <row r="672" spans="1:9">
      <c r="A672" s="232">
        <f t="shared" si="45"/>
        <v>670</v>
      </c>
      <c r="B672" s="233">
        <v>46114</v>
      </c>
      <c r="C672" s="234">
        <v>261.67875999999995</v>
      </c>
      <c r="D672" s="235">
        <v>185.36116679030002</v>
      </c>
      <c r="E672" s="234">
        <f t="shared" si="46"/>
        <v>185.36116679030002</v>
      </c>
      <c r="F672" s="239"/>
      <c r="G672" s="188" t="str">
        <f t="shared" si="43"/>
        <v/>
      </c>
      <c r="H672" s="236" t="str">
        <f t="shared" si="44"/>
        <v/>
      </c>
      <c r="I672" s="237"/>
    </row>
    <row r="673" spans="1:9">
      <c r="A673" s="232">
        <f t="shared" si="45"/>
        <v>671</v>
      </c>
      <c r="B673" s="233">
        <v>46115</v>
      </c>
      <c r="C673" s="234">
        <v>170.71929499999999</v>
      </c>
      <c r="D673" s="235">
        <v>185.36116679030002</v>
      </c>
      <c r="E673" s="234">
        <f t="shared" si="46"/>
        <v>170.71929499999999</v>
      </c>
      <c r="F673" s="237"/>
      <c r="G673" s="188" t="str">
        <f t="shared" si="43"/>
        <v/>
      </c>
      <c r="H673" s="236" t="str">
        <f t="shared" si="44"/>
        <v/>
      </c>
      <c r="I673" s="237"/>
    </row>
    <row r="674" spans="1:9">
      <c r="A674" s="232">
        <f t="shared" si="45"/>
        <v>672</v>
      </c>
      <c r="B674" s="233">
        <v>46116</v>
      </c>
      <c r="C674" s="234">
        <v>82.160215000000008</v>
      </c>
      <c r="D674" s="235">
        <v>185.36116679030002</v>
      </c>
      <c r="E674" s="234">
        <f t="shared" si="46"/>
        <v>82.160215000000008</v>
      </c>
      <c r="F674" s="237"/>
      <c r="G674" s="188" t="str">
        <f t="shared" si="43"/>
        <v/>
      </c>
      <c r="H674" s="236" t="str">
        <f t="shared" si="44"/>
        <v/>
      </c>
      <c r="I674" s="237"/>
    </row>
    <row r="675" spans="1:9">
      <c r="A675" s="232">
        <f t="shared" si="45"/>
        <v>673</v>
      </c>
      <c r="B675" s="233">
        <v>46117</v>
      </c>
      <c r="C675" s="234">
        <v>60.046943999999996</v>
      </c>
      <c r="D675" s="235">
        <v>185.36116679030002</v>
      </c>
      <c r="E675" s="234">
        <f t="shared" si="46"/>
        <v>60.046943999999996</v>
      </c>
      <c r="F675" s="239"/>
      <c r="G675" s="188" t="str">
        <f t="shared" si="43"/>
        <v/>
      </c>
      <c r="H675" s="236" t="str">
        <f t="shared" si="44"/>
        <v/>
      </c>
      <c r="I675" s="237"/>
    </row>
    <row r="676" spans="1:9">
      <c r="A676" s="232">
        <f t="shared" si="45"/>
        <v>674</v>
      </c>
      <c r="B676" s="233">
        <v>46118</v>
      </c>
      <c r="C676" s="234">
        <v>142.99351100000001</v>
      </c>
      <c r="D676" s="235">
        <v>185.36116679030002</v>
      </c>
      <c r="E676" s="234">
        <f t="shared" si="46"/>
        <v>142.99351100000001</v>
      </c>
      <c r="F676" s="239"/>
      <c r="G676" s="188" t="str">
        <f t="shared" si="43"/>
        <v/>
      </c>
      <c r="H676" s="236" t="str">
        <f t="shared" si="44"/>
        <v/>
      </c>
      <c r="I676" s="237"/>
    </row>
    <row r="677" spans="1:9">
      <c r="A677" s="232">
        <f t="shared" si="45"/>
        <v>675</v>
      </c>
      <c r="B677" s="233">
        <v>46119</v>
      </c>
      <c r="C677" s="234">
        <v>186.618875</v>
      </c>
      <c r="D677" s="235">
        <v>185.36116679030002</v>
      </c>
      <c r="E677" s="234">
        <f t="shared" si="46"/>
        <v>185.36116679030002</v>
      </c>
      <c r="F677" s="239"/>
      <c r="G677" s="188" t="str">
        <f t="shared" si="43"/>
        <v/>
      </c>
      <c r="H677" s="236" t="str">
        <f t="shared" si="44"/>
        <v/>
      </c>
      <c r="I677" s="237"/>
    </row>
    <row r="678" spans="1:9">
      <c r="A678" s="232">
        <f t="shared" si="45"/>
        <v>676</v>
      </c>
      <c r="B678" s="233">
        <v>46120</v>
      </c>
      <c r="C678" s="234">
        <v>92.76430400000001</v>
      </c>
      <c r="D678" s="235">
        <v>185.36116679030002</v>
      </c>
      <c r="E678" s="234">
        <f t="shared" si="46"/>
        <v>92.76430400000001</v>
      </c>
      <c r="F678" s="239"/>
      <c r="G678" s="188" t="str">
        <f t="shared" si="43"/>
        <v/>
      </c>
      <c r="H678" s="236" t="str">
        <f t="shared" si="44"/>
        <v/>
      </c>
      <c r="I678" s="237"/>
    </row>
    <row r="679" spans="1:9">
      <c r="A679" s="232">
        <f t="shared" si="45"/>
        <v>677</v>
      </c>
      <c r="B679" s="233">
        <v>46121</v>
      </c>
      <c r="C679" s="234">
        <v>98.755494000000013</v>
      </c>
      <c r="D679" s="235">
        <v>185.36116679030002</v>
      </c>
      <c r="E679" s="234">
        <f t="shared" si="46"/>
        <v>98.755494000000013</v>
      </c>
      <c r="F679" s="239"/>
      <c r="G679" s="188" t="str">
        <f t="shared" si="43"/>
        <v/>
      </c>
      <c r="H679" s="236" t="str">
        <f t="shared" si="44"/>
        <v/>
      </c>
      <c r="I679" s="237"/>
    </row>
    <row r="680" spans="1:9">
      <c r="A680" s="232">
        <f t="shared" si="45"/>
        <v>678</v>
      </c>
      <c r="B680" s="233">
        <v>46122</v>
      </c>
      <c r="C680" s="234">
        <v>124.06647599999999</v>
      </c>
      <c r="D680" s="235">
        <v>185.36116679030002</v>
      </c>
      <c r="E680" s="234">
        <f t="shared" si="46"/>
        <v>124.06647599999999</v>
      </c>
      <c r="F680" s="239"/>
      <c r="G680" s="188" t="str">
        <f t="shared" si="43"/>
        <v/>
      </c>
      <c r="H680" s="236" t="str">
        <f t="shared" si="44"/>
        <v/>
      </c>
      <c r="I680" s="237"/>
    </row>
    <row r="681" spans="1:9">
      <c r="A681" s="232">
        <f t="shared" si="45"/>
        <v>679</v>
      </c>
      <c r="B681" s="233">
        <v>46123</v>
      </c>
      <c r="C681" s="234">
        <v>166.06642099999999</v>
      </c>
      <c r="D681" s="235">
        <v>185.36116679030002</v>
      </c>
      <c r="E681" s="234">
        <f t="shared" si="46"/>
        <v>166.06642099999999</v>
      </c>
      <c r="F681" s="239"/>
      <c r="G681" s="188" t="str">
        <f t="shared" si="43"/>
        <v/>
      </c>
      <c r="H681" s="236" t="str">
        <f t="shared" si="44"/>
        <v/>
      </c>
      <c r="I681" s="237"/>
    </row>
    <row r="682" spans="1:9">
      <c r="A682" s="232">
        <f t="shared" si="45"/>
        <v>680</v>
      </c>
      <c r="B682" s="233">
        <v>46124</v>
      </c>
      <c r="C682" s="234">
        <v>238.49870100000001</v>
      </c>
      <c r="D682" s="235">
        <v>185.36116679030002</v>
      </c>
      <c r="E682" s="234">
        <f t="shared" si="46"/>
        <v>185.36116679030002</v>
      </c>
      <c r="F682" s="239"/>
      <c r="G682" s="188" t="str">
        <f t="shared" si="43"/>
        <v/>
      </c>
      <c r="H682" s="236" t="str">
        <f t="shared" si="44"/>
        <v/>
      </c>
      <c r="I682" s="237"/>
    </row>
    <row r="683" spans="1:9">
      <c r="A683" s="232">
        <f t="shared" si="45"/>
        <v>681</v>
      </c>
      <c r="B683" s="233">
        <v>46125</v>
      </c>
      <c r="C683" s="234">
        <v>287.34459899999996</v>
      </c>
      <c r="D683" s="235">
        <v>185.36116679030002</v>
      </c>
      <c r="E683" s="234">
        <f t="shared" si="46"/>
        <v>185.36116679030002</v>
      </c>
      <c r="F683" s="239"/>
      <c r="G683" s="188" t="str">
        <f t="shared" si="43"/>
        <v/>
      </c>
      <c r="H683" s="236" t="str">
        <f t="shared" si="44"/>
        <v/>
      </c>
      <c r="I683" s="237"/>
    </row>
    <row r="684" spans="1:9">
      <c r="A684" s="232">
        <f t="shared" si="45"/>
        <v>682</v>
      </c>
      <c r="B684" s="233">
        <v>46126</v>
      </c>
      <c r="C684" s="234">
        <v>207.30205600000002</v>
      </c>
      <c r="D684" s="235">
        <v>185.36116679030002</v>
      </c>
      <c r="E684" s="234">
        <f t="shared" si="46"/>
        <v>185.36116679030002</v>
      </c>
      <c r="F684" s="239"/>
      <c r="G684" s="188" t="str">
        <f t="shared" si="43"/>
        <v/>
      </c>
      <c r="H684" s="236" t="str">
        <f t="shared" si="44"/>
        <v/>
      </c>
      <c r="I684" s="237"/>
    </row>
    <row r="685" spans="1:9">
      <c r="A685" s="232">
        <f t="shared" si="45"/>
        <v>683</v>
      </c>
      <c r="B685" s="233">
        <v>46127</v>
      </c>
      <c r="C685" s="234">
        <v>124.76215499999999</v>
      </c>
      <c r="D685" s="235">
        <v>185.36116679030002</v>
      </c>
      <c r="E685" s="234">
        <f t="shared" si="46"/>
        <v>124.76215499999999</v>
      </c>
      <c r="F685" s="239"/>
      <c r="G685" s="188" t="str">
        <f t="shared" si="43"/>
        <v>A</v>
      </c>
      <c r="H685" s="236" t="str">
        <f t="shared" si="44"/>
        <v>185,4</v>
      </c>
      <c r="I685" s="237"/>
    </row>
    <row r="686" spans="1:9">
      <c r="A686" s="232">
        <f t="shared" si="45"/>
        <v>684</v>
      </c>
      <c r="B686" s="233">
        <v>46128</v>
      </c>
      <c r="C686" s="234">
        <v>48.532853000000003</v>
      </c>
      <c r="D686" s="235">
        <v>185.36116679030002</v>
      </c>
      <c r="E686" s="234">
        <f t="shared" si="46"/>
        <v>48.532853000000003</v>
      </c>
      <c r="F686" s="239"/>
      <c r="G686" s="188" t="str">
        <f t="shared" si="43"/>
        <v/>
      </c>
      <c r="H686" s="236" t="str">
        <f t="shared" si="44"/>
        <v/>
      </c>
      <c r="I686" s="237"/>
    </row>
    <row r="687" spans="1:9">
      <c r="A687" s="232">
        <f t="shared" si="45"/>
        <v>685</v>
      </c>
      <c r="B687" s="233">
        <v>46129</v>
      </c>
      <c r="C687" s="234">
        <v>43.739114999999998</v>
      </c>
      <c r="D687" s="235">
        <v>185.36116679030002</v>
      </c>
      <c r="E687" s="234">
        <f t="shared" si="46"/>
        <v>43.739114999999998</v>
      </c>
      <c r="F687" s="239"/>
      <c r="G687" s="188" t="str">
        <f t="shared" si="43"/>
        <v/>
      </c>
      <c r="H687" s="236" t="str">
        <f t="shared" si="44"/>
        <v/>
      </c>
      <c r="I687" s="237"/>
    </row>
    <row r="688" spans="1:9">
      <c r="A688" s="232">
        <f t="shared" si="45"/>
        <v>686</v>
      </c>
      <c r="B688" s="233">
        <v>46130</v>
      </c>
      <c r="C688" s="234">
        <v>89.870743000000004</v>
      </c>
      <c r="D688" s="235">
        <v>185.36116679030002</v>
      </c>
      <c r="E688" s="234">
        <f t="shared" si="46"/>
        <v>89.870743000000004</v>
      </c>
      <c r="F688" s="239"/>
      <c r="G688" s="188" t="str">
        <f t="shared" si="43"/>
        <v/>
      </c>
      <c r="H688" s="236" t="str">
        <f t="shared" si="44"/>
        <v/>
      </c>
      <c r="I688" s="237"/>
    </row>
    <row r="689" spans="1:9">
      <c r="A689" s="232">
        <f t="shared" si="45"/>
        <v>687</v>
      </c>
      <c r="B689" s="233">
        <v>46131</v>
      </c>
      <c r="C689" s="234">
        <v>82.488242</v>
      </c>
      <c r="D689" s="235">
        <v>185.36116679030002</v>
      </c>
      <c r="E689" s="234">
        <f t="shared" si="46"/>
        <v>82.488242</v>
      </c>
      <c r="F689" s="239"/>
      <c r="G689" s="188" t="str">
        <f t="shared" si="43"/>
        <v/>
      </c>
      <c r="H689" s="236" t="str">
        <f t="shared" si="44"/>
        <v/>
      </c>
      <c r="I689" s="237"/>
    </row>
    <row r="690" spans="1:9">
      <c r="A690" s="232">
        <f t="shared" si="45"/>
        <v>688</v>
      </c>
      <c r="B690" s="233">
        <v>46132</v>
      </c>
      <c r="C690" s="234">
        <v>54.149662000000006</v>
      </c>
      <c r="D690" s="235">
        <v>185.36116679030002</v>
      </c>
      <c r="E690" s="234">
        <f t="shared" si="46"/>
        <v>54.149662000000006</v>
      </c>
      <c r="F690" s="239"/>
      <c r="G690" s="188" t="str">
        <f t="shared" si="43"/>
        <v/>
      </c>
      <c r="H690" s="236" t="str">
        <f t="shared" si="44"/>
        <v/>
      </c>
      <c r="I690" s="237"/>
    </row>
    <row r="691" spans="1:9">
      <c r="A691" s="232">
        <f t="shared" si="45"/>
        <v>689</v>
      </c>
      <c r="B691" s="233">
        <v>46133</v>
      </c>
      <c r="C691" s="234">
        <v>121.52161099999999</v>
      </c>
      <c r="D691" s="235">
        <v>185.36116679030002</v>
      </c>
      <c r="E691" s="234">
        <f t="shared" si="46"/>
        <v>121.52161099999999</v>
      </c>
      <c r="F691" s="239"/>
      <c r="G691" s="188" t="str">
        <f t="shared" si="43"/>
        <v/>
      </c>
      <c r="H691" s="236" t="str">
        <f t="shared" si="44"/>
        <v/>
      </c>
      <c r="I691" s="237"/>
    </row>
    <row r="692" spans="1:9">
      <c r="A692" s="232">
        <f t="shared" si="45"/>
        <v>690</v>
      </c>
      <c r="B692" s="233">
        <v>46134</v>
      </c>
      <c r="C692" s="234">
        <v>104.99082199999999</v>
      </c>
      <c r="D692" s="235">
        <v>185.36116679030002</v>
      </c>
      <c r="E692" s="234">
        <f t="shared" si="46"/>
        <v>104.99082199999999</v>
      </c>
      <c r="F692" s="239"/>
      <c r="G692" s="188" t="str">
        <f t="shared" si="43"/>
        <v/>
      </c>
      <c r="H692" s="236" t="str">
        <f t="shared" si="44"/>
        <v/>
      </c>
      <c r="I692" s="237"/>
    </row>
    <row r="693" spans="1:9">
      <c r="A693" s="232">
        <f t="shared" si="45"/>
        <v>691</v>
      </c>
      <c r="B693" s="233">
        <v>46135</v>
      </c>
      <c r="C693" s="234">
        <v>145.16140099999998</v>
      </c>
      <c r="D693" s="235">
        <v>185.36116679030002</v>
      </c>
      <c r="E693" s="234">
        <f t="shared" si="46"/>
        <v>145.16140099999998</v>
      </c>
      <c r="F693" s="239"/>
      <c r="G693" s="188" t="str">
        <f t="shared" si="43"/>
        <v/>
      </c>
      <c r="H693" s="236" t="str">
        <f t="shared" si="44"/>
        <v/>
      </c>
      <c r="I693" s="237"/>
    </row>
    <row r="694" spans="1:9">
      <c r="A694" s="232">
        <f t="shared" si="45"/>
        <v>692</v>
      </c>
      <c r="B694" s="233">
        <v>46136</v>
      </c>
      <c r="C694" s="234">
        <v>70.450730000000007</v>
      </c>
      <c r="D694" s="235">
        <v>185.36116679030002</v>
      </c>
      <c r="E694" s="234">
        <f t="shared" si="46"/>
        <v>70.450730000000007</v>
      </c>
      <c r="F694" s="239"/>
      <c r="G694" s="188" t="str">
        <f t="shared" si="43"/>
        <v/>
      </c>
      <c r="H694" s="236" t="str">
        <f t="shared" si="44"/>
        <v/>
      </c>
      <c r="I694" s="237"/>
    </row>
    <row r="695" spans="1:9">
      <c r="A695" s="232">
        <f t="shared" si="45"/>
        <v>693</v>
      </c>
      <c r="B695" s="233">
        <v>46137</v>
      </c>
      <c r="C695" s="234">
        <v>69.69039699999999</v>
      </c>
      <c r="D695" s="235">
        <v>185.36116679030002</v>
      </c>
      <c r="E695" s="234">
        <f t="shared" si="46"/>
        <v>69.69039699999999</v>
      </c>
      <c r="F695" s="239"/>
      <c r="G695" s="188" t="str">
        <f t="shared" si="43"/>
        <v/>
      </c>
      <c r="H695" s="236" t="str">
        <f t="shared" si="44"/>
        <v/>
      </c>
      <c r="I695" s="237"/>
    </row>
    <row r="696" spans="1:9">
      <c r="A696" s="232">
        <f t="shared" si="45"/>
        <v>694</v>
      </c>
      <c r="B696" s="233">
        <v>46138</v>
      </c>
      <c r="C696" s="234">
        <v>68.809919000000008</v>
      </c>
      <c r="D696" s="235">
        <v>185.36116679030002</v>
      </c>
      <c r="E696" s="234">
        <f t="shared" si="46"/>
        <v>68.809919000000008</v>
      </c>
      <c r="F696" s="239"/>
      <c r="G696" s="188" t="str">
        <f t="shared" si="43"/>
        <v/>
      </c>
      <c r="H696" s="236" t="str">
        <f t="shared" si="44"/>
        <v/>
      </c>
      <c r="I696" s="237"/>
    </row>
    <row r="697" spans="1:9">
      <c r="A697" s="232">
        <f t="shared" si="45"/>
        <v>695</v>
      </c>
      <c r="B697" s="233">
        <v>46139</v>
      </c>
      <c r="C697" s="234">
        <v>123.05949900000002</v>
      </c>
      <c r="D697" s="235">
        <v>185.36116679030002</v>
      </c>
      <c r="E697" s="234">
        <f t="shared" si="46"/>
        <v>123.05949900000002</v>
      </c>
      <c r="F697" s="239"/>
      <c r="G697" s="188" t="str">
        <f t="shared" si="43"/>
        <v/>
      </c>
      <c r="H697" s="236" t="str">
        <f t="shared" si="44"/>
        <v/>
      </c>
      <c r="I697" s="237"/>
    </row>
    <row r="698" spans="1:9">
      <c r="A698" s="232">
        <f t="shared" si="45"/>
        <v>696</v>
      </c>
      <c r="B698" s="233">
        <v>46140</v>
      </c>
      <c r="C698" s="234">
        <v>131.29952399999996</v>
      </c>
      <c r="D698" s="235">
        <v>185.36116679030002</v>
      </c>
      <c r="E698" s="234">
        <f t="shared" si="46"/>
        <v>131.29952399999996</v>
      </c>
      <c r="F698" s="239"/>
      <c r="G698" s="188" t="str">
        <f t="shared" si="43"/>
        <v/>
      </c>
      <c r="H698" s="236" t="str">
        <f t="shared" si="44"/>
        <v/>
      </c>
      <c r="I698" s="237"/>
    </row>
    <row r="699" spans="1:9">
      <c r="A699" s="232">
        <f t="shared" si="45"/>
        <v>697</v>
      </c>
      <c r="B699" s="233">
        <v>46141</v>
      </c>
      <c r="C699" s="234">
        <v>134.25025600000001</v>
      </c>
      <c r="D699" s="235">
        <v>185.36116679030002</v>
      </c>
      <c r="E699" s="234">
        <f t="shared" si="46"/>
        <v>134.25025600000001</v>
      </c>
      <c r="F699" s="239"/>
      <c r="G699" s="188" t="str">
        <f t="shared" si="43"/>
        <v/>
      </c>
      <c r="H699" s="236" t="str">
        <f t="shared" si="44"/>
        <v/>
      </c>
      <c r="I699" s="237"/>
    </row>
    <row r="700" spans="1:9">
      <c r="A700" s="232">
        <f t="shared" si="45"/>
        <v>698</v>
      </c>
      <c r="B700" s="233">
        <v>46142</v>
      </c>
      <c r="C700" s="234">
        <v>48.601282999999995</v>
      </c>
      <c r="D700" s="235">
        <v>185.36116679030002</v>
      </c>
      <c r="E700" s="234">
        <f t="shared" si="46"/>
        <v>48.601282999999995</v>
      </c>
      <c r="F700" s="239"/>
      <c r="G700" s="188" t="str">
        <f t="shared" si="43"/>
        <v/>
      </c>
      <c r="H700" s="236" t="str">
        <f t="shared" si="44"/>
        <v/>
      </c>
      <c r="I700" s="237"/>
    </row>
    <row r="701" spans="1:9">
      <c r="A701" s="232">
        <f t="shared" si="45"/>
        <v>699</v>
      </c>
      <c r="B701" s="233">
        <v>46143</v>
      </c>
      <c r="C701" s="234">
        <v>68.322485999999984</v>
      </c>
      <c r="D701" s="235">
        <v>164.42676239996658</v>
      </c>
      <c r="E701" s="234">
        <f t="shared" si="46"/>
        <v>68.322485999999984</v>
      </c>
      <c r="F701" s="237"/>
      <c r="G701" s="188" t="str">
        <f t="shared" si="43"/>
        <v/>
      </c>
      <c r="H701" s="236" t="str">
        <f t="shared" si="44"/>
        <v/>
      </c>
      <c r="I701" s="237"/>
    </row>
    <row r="702" spans="1:9">
      <c r="A702" s="232">
        <f t="shared" si="45"/>
        <v>700</v>
      </c>
      <c r="B702" s="233">
        <v>46144</v>
      </c>
      <c r="C702" s="234">
        <v>142.81091400000003</v>
      </c>
      <c r="D702" s="235">
        <v>164.42676239996658</v>
      </c>
      <c r="E702" s="234">
        <f t="shared" si="46"/>
        <v>142.81091400000003</v>
      </c>
      <c r="F702" s="237"/>
      <c r="G702" s="188" t="str">
        <f t="shared" si="43"/>
        <v/>
      </c>
      <c r="H702" s="236" t="str">
        <f t="shared" si="44"/>
        <v/>
      </c>
      <c r="I702" s="237"/>
    </row>
    <row r="703" spans="1:9">
      <c r="A703" s="232">
        <f t="shared" si="45"/>
        <v>701</v>
      </c>
      <c r="B703" s="233">
        <v>46145</v>
      </c>
      <c r="C703" s="234">
        <v>72.598108999999994</v>
      </c>
      <c r="D703" s="235">
        <v>164.42676239996658</v>
      </c>
      <c r="E703" s="234">
        <f t="shared" si="46"/>
        <v>72.598108999999994</v>
      </c>
      <c r="F703" s="239"/>
      <c r="G703" s="188" t="str">
        <f t="shared" si="43"/>
        <v/>
      </c>
      <c r="H703" s="236" t="str">
        <f t="shared" si="44"/>
        <v/>
      </c>
      <c r="I703" s="237"/>
    </row>
    <row r="704" spans="1:9">
      <c r="A704" s="232">
        <f t="shared" si="45"/>
        <v>702</v>
      </c>
      <c r="B704" s="233">
        <v>46146</v>
      </c>
      <c r="C704" s="234">
        <v>82.396591999999998</v>
      </c>
      <c r="D704" s="235">
        <v>164.42676239996658</v>
      </c>
      <c r="E704" s="234">
        <f t="shared" si="46"/>
        <v>82.396591999999998</v>
      </c>
      <c r="F704" s="239"/>
      <c r="G704" s="188" t="str">
        <f t="shared" si="43"/>
        <v/>
      </c>
      <c r="H704" s="236" t="str">
        <f t="shared" si="44"/>
        <v/>
      </c>
      <c r="I704" s="237"/>
    </row>
    <row r="705" spans="1:9">
      <c r="A705" s="232">
        <f t="shared" si="45"/>
        <v>703</v>
      </c>
      <c r="B705" s="233">
        <v>46147</v>
      </c>
      <c r="C705" s="234">
        <v>88.937071000000003</v>
      </c>
      <c r="D705" s="235">
        <v>164.42676239996658</v>
      </c>
      <c r="E705" s="234">
        <f t="shared" si="46"/>
        <v>88.937071000000003</v>
      </c>
      <c r="F705" s="239"/>
      <c r="G705" s="188" t="str">
        <f t="shared" si="43"/>
        <v/>
      </c>
      <c r="H705" s="236" t="str">
        <f t="shared" si="44"/>
        <v/>
      </c>
      <c r="I705" s="237"/>
    </row>
    <row r="706" spans="1:9">
      <c r="A706" s="232">
        <f t="shared" si="45"/>
        <v>704</v>
      </c>
      <c r="B706" s="233">
        <v>46148</v>
      </c>
      <c r="C706" s="234">
        <v>62.164128000000005</v>
      </c>
      <c r="D706" s="235">
        <v>164.42676239996658</v>
      </c>
      <c r="E706" s="234">
        <f t="shared" si="46"/>
        <v>62.164128000000005</v>
      </c>
      <c r="F706" s="239"/>
      <c r="G706" s="188" t="str">
        <f t="shared" si="43"/>
        <v/>
      </c>
      <c r="H706" s="236" t="str">
        <f t="shared" si="44"/>
        <v/>
      </c>
      <c r="I706" s="237"/>
    </row>
    <row r="707" spans="1:9">
      <c r="A707" s="232">
        <f t="shared" si="45"/>
        <v>705</v>
      </c>
      <c r="B707" s="233">
        <v>46149</v>
      </c>
      <c r="C707" s="234">
        <v>87.728083999999996</v>
      </c>
      <c r="D707" s="235">
        <v>164.42676239996658</v>
      </c>
      <c r="E707" s="234">
        <f t="shared" si="46"/>
        <v>87.728083999999996</v>
      </c>
      <c r="F707" s="239"/>
      <c r="G707" s="188" t="str">
        <f t="shared" ref="G707:G760" si="47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s="236" t="str">
        <f t="shared" ref="H707:H760" si="48">IF(DAY($B707)=15,TEXT(D707,"#,0"),"")</f>
        <v/>
      </c>
      <c r="I707" s="237"/>
    </row>
    <row r="708" spans="1:9">
      <c r="A708" s="232">
        <f t="shared" si="45"/>
        <v>706</v>
      </c>
      <c r="B708" s="233">
        <v>46150</v>
      </c>
      <c r="C708" s="234">
        <v>109.579151</v>
      </c>
      <c r="D708" s="235">
        <v>164.42676239996658</v>
      </c>
      <c r="E708" s="234">
        <f t="shared" si="46"/>
        <v>109.579151</v>
      </c>
      <c r="F708" s="239"/>
      <c r="G708" s="188" t="str">
        <f t="shared" si="47"/>
        <v/>
      </c>
      <c r="H708" s="236" t="str">
        <f t="shared" si="48"/>
        <v/>
      </c>
      <c r="I708" s="237"/>
    </row>
    <row r="709" spans="1:9">
      <c r="A709" s="232">
        <f t="shared" si="45"/>
        <v>707</v>
      </c>
      <c r="B709" s="233">
        <v>46151</v>
      </c>
      <c r="C709" s="234">
        <v>173.706166</v>
      </c>
      <c r="D709" s="235">
        <v>164.42676239996658</v>
      </c>
      <c r="E709" s="234">
        <f t="shared" si="46"/>
        <v>164.42676239996658</v>
      </c>
      <c r="F709" s="239"/>
      <c r="G709" s="188" t="str">
        <f t="shared" si="47"/>
        <v/>
      </c>
      <c r="H709" s="236" t="str">
        <f t="shared" si="48"/>
        <v/>
      </c>
      <c r="I709" s="237"/>
    </row>
    <row r="710" spans="1:9">
      <c r="A710" s="232">
        <f t="shared" si="45"/>
        <v>708</v>
      </c>
      <c r="B710" s="233">
        <v>46152</v>
      </c>
      <c r="C710" s="234">
        <v>152.71892700000001</v>
      </c>
      <c r="D710" s="235">
        <v>164.42676239996658</v>
      </c>
      <c r="E710" s="234">
        <f t="shared" si="46"/>
        <v>152.71892700000001</v>
      </c>
      <c r="F710" s="239"/>
      <c r="G710" s="188" t="str">
        <f t="shared" si="47"/>
        <v/>
      </c>
      <c r="H710" s="236" t="str">
        <f t="shared" si="48"/>
        <v/>
      </c>
      <c r="I710" s="237"/>
    </row>
    <row r="711" spans="1:9">
      <c r="A711" s="232">
        <f t="shared" si="45"/>
        <v>709</v>
      </c>
      <c r="B711" s="233">
        <v>46153</v>
      </c>
      <c r="C711" s="234">
        <v>101.569981</v>
      </c>
      <c r="D711" s="235">
        <v>164.42676239996658</v>
      </c>
      <c r="E711" s="234">
        <f t="shared" si="46"/>
        <v>101.569981</v>
      </c>
      <c r="F711" s="239"/>
      <c r="G711" s="188" t="str">
        <f t="shared" si="47"/>
        <v/>
      </c>
      <c r="H711" s="236" t="str">
        <f t="shared" si="48"/>
        <v/>
      </c>
      <c r="I711" s="237"/>
    </row>
    <row r="712" spans="1:9">
      <c r="A712" s="232">
        <f t="shared" si="45"/>
        <v>710</v>
      </c>
      <c r="B712" s="233">
        <v>46154</v>
      </c>
      <c r="C712" s="234">
        <v>123.192919</v>
      </c>
      <c r="D712" s="235">
        <v>164.42676239996658</v>
      </c>
      <c r="E712" s="234">
        <f t="shared" si="46"/>
        <v>123.192919</v>
      </c>
      <c r="F712" s="239"/>
      <c r="G712" s="188" t="str">
        <f t="shared" si="47"/>
        <v/>
      </c>
      <c r="H712" s="236" t="str">
        <f t="shared" si="48"/>
        <v/>
      </c>
      <c r="I712" s="237"/>
    </row>
    <row r="713" spans="1:9">
      <c r="A713" s="232">
        <f t="shared" si="45"/>
        <v>711</v>
      </c>
      <c r="B713" s="233">
        <v>46155</v>
      </c>
      <c r="C713" s="234">
        <v>180.176861</v>
      </c>
      <c r="D713" s="235">
        <v>164.42676239996658</v>
      </c>
      <c r="E713" s="234">
        <f t="shared" si="46"/>
        <v>164.42676239996658</v>
      </c>
      <c r="F713" s="239"/>
      <c r="G713" s="188" t="str">
        <f t="shared" si="47"/>
        <v/>
      </c>
      <c r="H713" s="236" t="str">
        <f t="shared" si="48"/>
        <v/>
      </c>
      <c r="I713" s="237"/>
    </row>
    <row r="714" spans="1:9">
      <c r="A714" s="232">
        <f t="shared" si="45"/>
        <v>712</v>
      </c>
      <c r="B714" s="233">
        <v>46156</v>
      </c>
      <c r="C714" s="234">
        <v>171.15812199999999</v>
      </c>
      <c r="D714" s="235">
        <v>164.42676239996658</v>
      </c>
      <c r="E714" s="234">
        <f t="shared" si="46"/>
        <v>164.42676239996658</v>
      </c>
      <c r="F714" s="239"/>
      <c r="G714" s="188" t="str">
        <f t="shared" si="47"/>
        <v/>
      </c>
      <c r="H714" s="236" t="str">
        <f t="shared" si="48"/>
        <v/>
      </c>
      <c r="I714" s="237"/>
    </row>
    <row r="715" spans="1:9">
      <c r="A715" s="232">
        <f t="shared" si="45"/>
        <v>713</v>
      </c>
      <c r="B715" s="233">
        <v>46157</v>
      </c>
      <c r="C715" s="234">
        <v>240.77670799999999</v>
      </c>
      <c r="D715" s="235">
        <v>164.42676239996658</v>
      </c>
      <c r="E715" s="234">
        <f t="shared" si="46"/>
        <v>164.42676239996658</v>
      </c>
      <c r="F715" s="239"/>
      <c r="G715" s="188" t="str">
        <f t="shared" si="47"/>
        <v>M</v>
      </c>
      <c r="H715" s="236" t="str">
        <f t="shared" si="48"/>
        <v>164,4</v>
      </c>
      <c r="I715" s="237"/>
    </row>
    <row r="716" spans="1:9">
      <c r="A716" s="232">
        <f t="shared" si="45"/>
        <v>714</v>
      </c>
      <c r="B716" s="233">
        <v>46158</v>
      </c>
      <c r="C716" s="234">
        <v>122.40937699999999</v>
      </c>
      <c r="D716" s="235">
        <v>164.42676239996658</v>
      </c>
      <c r="E716" s="234">
        <f t="shared" si="46"/>
        <v>122.40937699999999</v>
      </c>
      <c r="F716" s="239"/>
      <c r="G716" s="188" t="str">
        <f t="shared" si="47"/>
        <v/>
      </c>
      <c r="H716" s="236" t="str">
        <f t="shared" si="48"/>
        <v/>
      </c>
      <c r="I716" s="237"/>
    </row>
    <row r="717" spans="1:9">
      <c r="A717" s="232">
        <f t="shared" si="45"/>
        <v>715</v>
      </c>
      <c r="B717" s="233">
        <v>46159</v>
      </c>
      <c r="C717" s="234">
        <v>64.257786999999993</v>
      </c>
      <c r="D717" s="235">
        <v>164.42676239996658</v>
      </c>
      <c r="E717" s="234">
        <f t="shared" si="46"/>
        <v>64.257786999999993</v>
      </c>
      <c r="F717" s="239"/>
      <c r="G717" s="188" t="str">
        <f t="shared" si="47"/>
        <v/>
      </c>
      <c r="H717" s="236" t="str">
        <f t="shared" si="48"/>
        <v/>
      </c>
      <c r="I717" s="237"/>
    </row>
    <row r="718" spans="1:9">
      <c r="A718" s="232">
        <f t="shared" si="45"/>
        <v>716</v>
      </c>
      <c r="B718" s="233">
        <v>46160</v>
      </c>
      <c r="C718" s="234">
        <v>84.683417000000006</v>
      </c>
      <c r="D718" s="235">
        <v>164.42676239996658</v>
      </c>
      <c r="E718" s="234">
        <f t="shared" si="46"/>
        <v>84.683417000000006</v>
      </c>
      <c r="F718" s="239"/>
      <c r="G718" s="188" t="str">
        <f t="shared" si="47"/>
        <v/>
      </c>
      <c r="H718" s="236" t="str">
        <f t="shared" si="48"/>
        <v/>
      </c>
      <c r="I718" s="237"/>
    </row>
    <row r="719" spans="1:9">
      <c r="A719" s="232">
        <f t="shared" si="45"/>
        <v>717</v>
      </c>
      <c r="B719" s="233">
        <v>46161</v>
      </c>
      <c r="C719" s="234">
        <v>103.316154</v>
      </c>
      <c r="D719" s="235">
        <v>164.42676239996658</v>
      </c>
      <c r="E719" s="234">
        <f t="shared" si="46"/>
        <v>103.316154</v>
      </c>
      <c r="F719" s="239"/>
      <c r="G719" s="188" t="str">
        <f t="shared" si="47"/>
        <v/>
      </c>
      <c r="H719" s="236" t="str">
        <f t="shared" si="48"/>
        <v/>
      </c>
      <c r="I719" s="237"/>
    </row>
    <row r="720" spans="1:9">
      <c r="A720" s="232">
        <f t="shared" si="45"/>
        <v>718</v>
      </c>
      <c r="B720" s="233">
        <v>46162</v>
      </c>
      <c r="C720" s="234">
        <v>61.231966</v>
      </c>
      <c r="D720" s="235">
        <v>164.42676239996658</v>
      </c>
      <c r="E720" s="234">
        <f t="shared" si="46"/>
        <v>61.231966</v>
      </c>
      <c r="F720" s="239"/>
      <c r="G720" s="188" t="str">
        <f t="shared" si="47"/>
        <v/>
      </c>
      <c r="H720" s="236" t="str">
        <f t="shared" si="48"/>
        <v/>
      </c>
      <c r="I720" s="237"/>
    </row>
    <row r="721" spans="1:9">
      <c r="A721" s="232">
        <f t="shared" si="45"/>
        <v>719</v>
      </c>
      <c r="B721" s="233">
        <v>46163</v>
      </c>
      <c r="C721" s="234">
        <v>92.967826999999986</v>
      </c>
      <c r="D721" s="235">
        <v>164.42676239996658</v>
      </c>
      <c r="E721" s="234">
        <f t="shared" si="46"/>
        <v>92.967826999999986</v>
      </c>
      <c r="F721" s="239"/>
      <c r="G721" s="188" t="str">
        <f t="shared" si="47"/>
        <v/>
      </c>
      <c r="H721" s="236" t="str">
        <f t="shared" si="48"/>
        <v/>
      </c>
      <c r="I721" s="237"/>
    </row>
    <row r="722" spans="1:9">
      <c r="A722" s="232">
        <f t="shared" si="45"/>
        <v>720</v>
      </c>
      <c r="B722" s="233">
        <v>46164</v>
      </c>
      <c r="C722" s="234">
        <v>103.387033</v>
      </c>
      <c r="D722" s="235">
        <v>164.42676239996658</v>
      </c>
      <c r="E722" s="234">
        <f t="shared" si="46"/>
        <v>103.387033</v>
      </c>
      <c r="F722" s="239"/>
      <c r="G722" s="188" t="str">
        <f t="shared" si="47"/>
        <v/>
      </c>
      <c r="H722" s="236" t="str">
        <f t="shared" si="48"/>
        <v/>
      </c>
      <c r="I722" s="237"/>
    </row>
    <row r="723" spans="1:9">
      <c r="A723" s="232">
        <f t="shared" si="45"/>
        <v>721</v>
      </c>
      <c r="B723" s="233">
        <v>46165</v>
      </c>
      <c r="C723" s="234">
        <v>111.11902099999999</v>
      </c>
      <c r="D723" s="235">
        <v>164.42676239996658</v>
      </c>
      <c r="E723" s="234">
        <f t="shared" si="46"/>
        <v>111.11902099999999</v>
      </c>
      <c r="F723" s="239"/>
      <c r="G723" s="188" t="str">
        <f t="shared" si="47"/>
        <v/>
      </c>
      <c r="H723" s="236" t="str">
        <f t="shared" si="48"/>
        <v/>
      </c>
      <c r="I723" s="237"/>
    </row>
    <row r="724" spans="1:9">
      <c r="A724" s="232">
        <f t="shared" si="45"/>
        <v>722</v>
      </c>
      <c r="B724" s="233">
        <v>46166</v>
      </c>
      <c r="C724" s="234">
        <v>120.56154800000002</v>
      </c>
      <c r="D724" s="235">
        <v>164.42676239996658</v>
      </c>
      <c r="E724" s="234">
        <f t="shared" si="46"/>
        <v>120.56154800000002</v>
      </c>
      <c r="F724" s="239"/>
      <c r="G724" s="188" t="str">
        <f t="shared" si="47"/>
        <v/>
      </c>
      <c r="H724" s="236" t="str">
        <f t="shared" si="48"/>
        <v/>
      </c>
      <c r="I724" s="237"/>
    </row>
    <row r="725" spans="1:9">
      <c r="A725" s="232">
        <f t="shared" si="45"/>
        <v>723</v>
      </c>
      <c r="B725" s="233">
        <v>46167</v>
      </c>
      <c r="C725" s="234">
        <v>138.59159599999998</v>
      </c>
      <c r="D725" s="235">
        <v>164.42676239996658</v>
      </c>
      <c r="E725" s="234">
        <f t="shared" si="46"/>
        <v>138.59159599999998</v>
      </c>
      <c r="F725" s="239"/>
      <c r="G725" s="188" t="str">
        <f t="shared" si="47"/>
        <v/>
      </c>
      <c r="H725" s="236" t="str">
        <f t="shared" si="48"/>
        <v/>
      </c>
      <c r="I725" s="237"/>
    </row>
    <row r="726" spans="1:9">
      <c r="A726" s="232">
        <f t="shared" si="45"/>
        <v>724</v>
      </c>
      <c r="B726" s="233">
        <v>46168</v>
      </c>
      <c r="C726" s="234">
        <v>107.176824</v>
      </c>
      <c r="D726" s="235">
        <v>164.42676239996658</v>
      </c>
      <c r="E726" s="234">
        <f t="shared" si="46"/>
        <v>107.176824</v>
      </c>
      <c r="F726" s="239"/>
      <c r="G726" s="188" t="str">
        <f t="shared" si="47"/>
        <v/>
      </c>
      <c r="H726" s="236" t="str">
        <f t="shared" si="48"/>
        <v/>
      </c>
      <c r="I726" s="237"/>
    </row>
    <row r="727" spans="1:9">
      <c r="A727" s="232">
        <f t="shared" ref="A727:A761" si="49">+A726+1</f>
        <v>725</v>
      </c>
      <c r="B727" s="233">
        <v>46169</v>
      </c>
      <c r="C727" s="234">
        <v>75.98342199999999</v>
      </c>
      <c r="D727" s="235">
        <v>164.42676239996658</v>
      </c>
      <c r="E727" s="234">
        <f t="shared" ref="E727:E760" si="50">IF(C727&gt;D727,D727,C727)</f>
        <v>75.98342199999999</v>
      </c>
      <c r="F727" s="239"/>
      <c r="G727" s="188" t="str">
        <f t="shared" si="47"/>
        <v/>
      </c>
      <c r="H727" s="236" t="str">
        <f t="shared" si="48"/>
        <v/>
      </c>
      <c r="I727" s="237"/>
    </row>
    <row r="728" spans="1:9">
      <c r="A728" s="232">
        <f t="shared" si="49"/>
        <v>726</v>
      </c>
      <c r="B728" s="233">
        <v>46170</v>
      </c>
      <c r="C728" s="234">
        <v>67.576924999999989</v>
      </c>
      <c r="D728" s="235">
        <v>164.42676239996658</v>
      </c>
      <c r="E728" s="234">
        <f t="shared" si="50"/>
        <v>67.576924999999989</v>
      </c>
      <c r="F728" s="239"/>
      <c r="G728" s="188" t="str">
        <f t="shared" si="47"/>
        <v/>
      </c>
      <c r="H728" s="236" t="str">
        <f t="shared" si="48"/>
        <v/>
      </c>
      <c r="I728" s="237"/>
    </row>
    <row r="729" spans="1:9">
      <c r="A729" s="232">
        <f t="shared" si="49"/>
        <v>727</v>
      </c>
      <c r="B729" s="233">
        <v>46171</v>
      </c>
      <c r="C729" s="234">
        <v>57.877192999999998</v>
      </c>
      <c r="D729" s="235">
        <v>164.42676239996658</v>
      </c>
      <c r="E729" s="234">
        <f t="shared" si="50"/>
        <v>57.877192999999998</v>
      </c>
      <c r="F729" s="239"/>
      <c r="G729" s="188" t="str">
        <f t="shared" si="47"/>
        <v/>
      </c>
      <c r="H729" s="236" t="str">
        <f t="shared" si="48"/>
        <v/>
      </c>
      <c r="I729" s="237"/>
    </row>
    <row r="730" spans="1:9">
      <c r="A730" s="232">
        <f t="shared" si="49"/>
        <v>728</v>
      </c>
      <c r="B730" s="233">
        <v>46172</v>
      </c>
      <c r="C730" s="234">
        <v>68.565592999999993</v>
      </c>
      <c r="D730" s="235">
        <v>164.42676239996658</v>
      </c>
      <c r="E730" s="234">
        <f t="shared" si="50"/>
        <v>68.565592999999993</v>
      </c>
      <c r="F730" s="239"/>
      <c r="G730" s="188" t="str">
        <f t="shared" si="47"/>
        <v/>
      </c>
      <c r="H730" s="236" t="str">
        <f t="shared" si="48"/>
        <v/>
      </c>
      <c r="I730" s="237"/>
    </row>
    <row r="731" spans="1:9">
      <c r="A731" s="232">
        <f t="shared" si="49"/>
        <v>729</v>
      </c>
      <c r="B731" s="233">
        <v>46173</v>
      </c>
      <c r="C731" s="234">
        <v>111.873481</v>
      </c>
      <c r="D731" s="235">
        <v>164.42676239996658</v>
      </c>
      <c r="E731" s="234">
        <f t="shared" si="50"/>
        <v>111.873481</v>
      </c>
      <c r="F731" s="239"/>
      <c r="G731" s="188" t="str">
        <f t="shared" si="47"/>
        <v/>
      </c>
      <c r="H731" s="236" t="str">
        <f t="shared" si="48"/>
        <v/>
      </c>
      <c r="I731" s="237"/>
    </row>
    <row r="732" spans="1:9">
      <c r="A732" s="232">
        <f t="shared" si="49"/>
        <v>730</v>
      </c>
      <c r="B732" s="233">
        <v>46174</v>
      </c>
      <c r="C732" s="234">
        <v>94.753359000000017</v>
      </c>
      <c r="D732" s="235">
        <v>135.8052732545944</v>
      </c>
      <c r="E732" s="234">
        <f t="shared" si="50"/>
        <v>94.753359000000017</v>
      </c>
      <c r="F732" s="237"/>
      <c r="G732" s="188" t="str">
        <f t="shared" si="47"/>
        <v/>
      </c>
      <c r="H732" s="236" t="str">
        <f t="shared" si="48"/>
        <v/>
      </c>
      <c r="I732" s="237"/>
    </row>
    <row r="733" spans="1:9">
      <c r="A733" s="232">
        <f t="shared" si="49"/>
        <v>731</v>
      </c>
      <c r="B733" s="233">
        <v>46175</v>
      </c>
      <c r="C733" s="234">
        <v>172.06723700000001</v>
      </c>
      <c r="D733" s="235">
        <v>135.8052732545944</v>
      </c>
      <c r="E733" s="234">
        <f t="shared" si="50"/>
        <v>135.8052732545944</v>
      </c>
      <c r="F733" s="237"/>
      <c r="G733" s="188" t="str">
        <f t="shared" si="47"/>
        <v/>
      </c>
      <c r="H733" s="236" t="str">
        <f t="shared" si="48"/>
        <v/>
      </c>
      <c r="I733" s="237"/>
    </row>
    <row r="734" spans="1:9">
      <c r="A734" s="232">
        <f t="shared" si="49"/>
        <v>732</v>
      </c>
      <c r="B734" s="233">
        <v>46176</v>
      </c>
      <c r="C734" s="234">
        <v>136.72860900000001</v>
      </c>
      <c r="D734" s="235">
        <v>135.8052732545944</v>
      </c>
      <c r="E734" s="234">
        <f t="shared" si="50"/>
        <v>135.8052732545944</v>
      </c>
      <c r="F734" s="239"/>
      <c r="G734" s="188" t="str">
        <f t="shared" si="47"/>
        <v/>
      </c>
      <c r="H734" s="236" t="str">
        <f t="shared" si="48"/>
        <v/>
      </c>
      <c r="I734" s="237"/>
    </row>
    <row r="735" spans="1:9">
      <c r="A735" s="232">
        <f t="shared" si="49"/>
        <v>733</v>
      </c>
      <c r="B735" s="233">
        <v>46177</v>
      </c>
      <c r="C735" s="234">
        <v>166.586546</v>
      </c>
      <c r="D735" s="235">
        <v>135.8052732545944</v>
      </c>
      <c r="E735" s="234">
        <f t="shared" si="50"/>
        <v>135.8052732545944</v>
      </c>
      <c r="F735" s="239"/>
      <c r="G735" s="188" t="str">
        <f t="shared" si="47"/>
        <v/>
      </c>
      <c r="H735" s="236" t="str">
        <f t="shared" si="48"/>
        <v/>
      </c>
      <c r="I735" s="237"/>
    </row>
    <row r="736" spans="1:9">
      <c r="A736" s="232">
        <f t="shared" si="49"/>
        <v>734</v>
      </c>
      <c r="B736" s="233">
        <v>46178</v>
      </c>
      <c r="C736" s="234">
        <v>144.22544300000001</v>
      </c>
      <c r="D736" s="235">
        <v>135.8052732545944</v>
      </c>
      <c r="E736" s="234">
        <f t="shared" si="50"/>
        <v>135.8052732545944</v>
      </c>
      <c r="F736" s="239"/>
      <c r="G736" s="188" t="str">
        <f t="shared" si="47"/>
        <v/>
      </c>
      <c r="H736" s="236" t="str">
        <f t="shared" si="48"/>
        <v/>
      </c>
      <c r="I736" s="237"/>
    </row>
    <row r="737" spans="1:9">
      <c r="A737" s="232">
        <f t="shared" si="49"/>
        <v>735</v>
      </c>
      <c r="B737" s="233">
        <v>46179</v>
      </c>
      <c r="C737" s="234">
        <v>85.398071999999999</v>
      </c>
      <c r="D737" s="235">
        <v>135.8052732545944</v>
      </c>
      <c r="E737" s="234">
        <f t="shared" si="50"/>
        <v>85.398071999999999</v>
      </c>
      <c r="F737" s="239"/>
      <c r="G737" s="188" t="str">
        <f t="shared" si="47"/>
        <v/>
      </c>
      <c r="H737" s="236" t="str">
        <f t="shared" si="48"/>
        <v/>
      </c>
      <c r="I737" s="237"/>
    </row>
    <row r="738" spans="1:9">
      <c r="A738" s="232">
        <f t="shared" si="49"/>
        <v>736</v>
      </c>
      <c r="B738" s="233">
        <v>46180</v>
      </c>
      <c r="C738" s="234">
        <v>109.51207799999999</v>
      </c>
      <c r="D738" s="235">
        <v>135.8052732545944</v>
      </c>
      <c r="E738" s="234">
        <f t="shared" si="50"/>
        <v>109.51207799999999</v>
      </c>
      <c r="F738" s="239"/>
      <c r="G738" s="188" t="str">
        <f t="shared" si="47"/>
        <v/>
      </c>
      <c r="H738" s="236" t="str">
        <f t="shared" si="48"/>
        <v/>
      </c>
      <c r="I738" s="237"/>
    </row>
    <row r="739" spans="1:9">
      <c r="A739" s="232">
        <f t="shared" si="49"/>
        <v>737</v>
      </c>
      <c r="B739" s="233">
        <v>46181</v>
      </c>
      <c r="C739" s="234">
        <v>106.124251</v>
      </c>
      <c r="D739" s="235">
        <v>135.8052732545944</v>
      </c>
      <c r="E739" s="234">
        <f t="shared" si="50"/>
        <v>106.124251</v>
      </c>
      <c r="F739" s="239"/>
      <c r="G739" s="188" t="str">
        <f t="shared" si="47"/>
        <v/>
      </c>
      <c r="H739" s="236" t="str">
        <f t="shared" si="48"/>
        <v/>
      </c>
      <c r="I739" s="237"/>
    </row>
    <row r="740" spans="1:9">
      <c r="A740" s="232">
        <f t="shared" si="49"/>
        <v>738</v>
      </c>
      <c r="B740" s="233">
        <v>46182</v>
      </c>
      <c r="C740" s="234">
        <v>182.16705100000001</v>
      </c>
      <c r="D740" s="235">
        <v>135.8052732545944</v>
      </c>
      <c r="E740" s="234">
        <f t="shared" si="50"/>
        <v>135.8052732545944</v>
      </c>
      <c r="F740" s="239"/>
      <c r="G740" s="188" t="str">
        <f t="shared" si="47"/>
        <v/>
      </c>
      <c r="H740" s="236" t="str">
        <f t="shared" si="48"/>
        <v/>
      </c>
      <c r="I740" s="237"/>
    </row>
    <row r="741" spans="1:9">
      <c r="A741" s="232">
        <f t="shared" si="49"/>
        <v>739</v>
      </c>
      <c r="B741" s="233">
        <v>46183</v>
      </c>
      <c r="C741" s="234">
        <v>197.21539500000003</v>
      </c>
      <c r="D741" s="235">
        <v>135.8052732545944</v>
      </c>
      <c r="E741" s="234">
        <f t="shared" si="50"/>
        <v>135.8052732545944</v>
      </c>
      <c r="F741" s="239"/>
      <c r="G741" s="188" t="str">
        <f t="shared" si="47"/>
        <v/>
      </c>
      <c r="H741" s="236" t="str">
        <f t="shared" si="48"/>
        <v/>
      </c>
      <c r="I741" s="237"/>
    </row>
    <row r="742" spans="1:9">
      <c r="A742" s="232">
        <f t="shared" si="49"/>
        <v>740</v>
      </c>
      <c r="B742" s="233">
        <v>46184</v>
      </c>
      <c r="C742" s="234">
        <v>201.70857199999998</v>
      </c>
      <c r="D742" s="235">
        <v>135.8052732545944</v>
      </c>
      <c r="E742" s="234">
        <f t="shared" si="50"/>
        <v>135.8052732545944</v>
      </c>
      <c r="F742" s="239"/>
      <c r="G742" s="188" t="str">
        <f t="shared" si="47"/>
        <v/>
      </c>
      <c r="H742" s="236" t="str">
        <f t="shared" si="48"/>
        <v/>
      </c>
      <c r="I742" s="237"/>
    </row>
    <row r="743" spans="1:9">
      <c r="A743" s="232">
        <f t="shared" si="49"/>
        <v>741</v>
      </c>
      <c r="B743" s="233">
        <v>46185</v>
      </c>
      <c r="C743" s="234">
        <v>178.796052</v>
      </c>
      <c r="D743" s="235">
        <v>135.8052732545944</v>
      </c>
      <c r="E743" s="234">
        <f t="shared" si="50"/>
        <v>135.8052732545944</v>
      </c>
      <c r="F743" s="239"/>
      <c r="G743" s="188" t="str">
        <f t="shared" si="47"/>
        <v/>
      </c>
      <c r="H743" s="236" t="str">
        <f t="shared" si="48"/>
        <v/>
      </c>
      <c r="I743" s="237"/>
    </row>
    <row r="744" spans="1:9">
      <c r="A744" s="232">
        <f t="shared" si="49"/>
        <v>742</v>
      </c>
      <c r="B744" s="233">
        <v>46186</v>
      </c>
      <c r="C744" s="234">
        <v>105.25317600000001</v>
      </c>
      <c r="D744" s="235">
        <v>135.8052732545944</v>
      </c>
      <c r="E744" s="234">
        <f t="shared" si="50"/>
        <v>105.25317600000001</v>
      </c>
      <c r="F744" s="239"/>
      <c r="G744" s="188" t="str">
        <f t="shared" si="47"/>
        <v/>
      </c>
      <c r="H744" s="236" t="str">
        <f t="shared" si="48"/>
        <v/>
      </c>
      <c r="I744" s="237"/>
    </row>
    <row r="745" spans="1:9">
      <c r="A745" s="232">
        <f t="shared" si="49"/>
        <v>743</v>
      </c>
      <c r="B745" s="233">
        <v>46187</v>
      </c>
      <c r="C745" s="234">
        <v>69.306298999999996</v>
      </c>
      <c r="D745" s="235">
        <v>135.8052732545944</v>
      </c>
      <c r="E745" s="234">
        <f t="shared" si="50"/>
        <v>69.306298999999996</v>
      </c>
      <c r="F745" s="239"/>
      <c r="G745" s="188" t="str">
        <f t="shared" si="47"/>
        <v/>
      </c>
      <c r="H745" s="236" t="str">
        <f t="shared" si="48"/>
        <v/>
      </c>
      <c r="I745" s="237"/>
    </row>
    <row r="746" spans="1:9">
      <c r="A746" s="232">
        <f t="shared" si="49"/>
        <v>744</v>
      </c>
      <c r="B746" s="233">
        <v>46188</v>
      </c>
      <c r="C746" s="234">
        <v>65.093827000000005</v>
      </c>
      <c r="D746" s="235">
        <v>135.8052732545944</v>
      </c>
      <c r="E746" s="234">
        <f t="shared" si="50"/>
        <v>65.093827000000005</v>
      </c>
      <c r="F746" s="239"/>
      <c r="G746" s="188" t="str">
        <f t="shared" si="47"/>
        <v>J</v>
      </c>
      <c r="H746" s="236" t="str">
        <f t="shared" si="48"/>
        <v>135,8</v>
      </c>
      <c r="I746" s="237"/>
    </row>
    <row r="747" spans="1:9">
      <c r="A747" s="232">
        <f t="shared" si="49"/>
        <v>745</v>
      </c>
      <c r="B747" s="233">
        <v>46189</v>
      </c>
      <c r="C747" s="234">
        <v>41.971945999999996</v>
      </c>
      <c r="D747" s="235">
        <v>135.8052732545944</v>
      </c>
      <c r="E747" s="234">
        <f t="shared" si="50"/>
        <v>41.971945999999996</v>
      </c>
      <c r="F747" s="239"/>
      <c r="G747" s="188" t="str">
        <f t="shared" si="47"/>
        <v/>
      </c>
      <c r="H747" s="236" t="str">
        <f t="shared" si="48"/>
        <v/>
      </c>
      <c r="I747" s="237"/>
    </row>
    <row r="748" spans="1:9">
      <c r="A748" s="232">
        <f t="shared" si="49"/>
        <v>746</v>
      </c>
      <c r="B748" s="233">
        <v>46190</v>
      </c>
      <c r="C748" s="234">
        <v>83.831299999999999</v>
      </c>
      <c r="D748" s="235">
        <v>135.8052732545944</v>
      </c>
      <c r="E748" s="234">
        <f t="shared" si="50"/>
        <v>83.831299999999999</v>
      </c>
      <c r="F748" s="239"/>
      <c r="G748" s="188" t="str">
        <f t="shared" si="47"/>
        <v/>
      </c>
      <c r="H748" s="236" t="str">
        <f t="shared" si="48"/>
        <v/>
      </c>
      <c r="I748" s="237"/>
    </row>
    <row r="749" spans="1:9">
      <c r="A749" s="232">
        <f t="shared" si="49"/>
        <v>747</v>
      </c>
      <c r="B749" s="233">
        <v>46191</v>
      </c>
      <c r="C749" s="234">
        <v>113.15520300000001</v>
      </c>
      <c r="D749" s="235">
        <v>135.8052732545944</v>
      </c>
      <c r="E749" s="234">
        <f t="shared" si="50"/>
        <v>113.15520300000001</v>
      </c>
      <c r="F749" s="239"/>
      <c r="G749" s="188" t="str">
        <f t="shared" si="47"/>
        <v/>
      </c>
      <c r="H749" s="236" t="str">
        <f t="shared" si="48"/>
        <v/>
      </c>
      <c r="I749" s="237"/>
    </row>
    <row r="750" spans="1:9">
      <c r="A750" s="232">
        <f t="shared" si="49"/>
        <v>748</v>
      </c>
      <c r="B750" s="233">
        <v>46192</v>
      </c>
      <c r="C750" s="234">
        <v>114.87247499999999</v>
      </c>
      <c r="D750" s="235">
        <v>135.8052732545944</v>
      </c>
      <c r="E750" s="234">
        <f t="shared" si="50"/>
        <v>114.87247499999999</v>
      </c>
      <c r="F750" s="239"/>
      <c r="G750" s="188" t="str">
        <f t="shared" si="47"/>
        <v/>
      </c>
      <c r="H750" s="236" t="str">
        <f t="shared" si="48"/>
        <v/>
      </c>
      <c r="I750" s="237"/>
    </row>
    <row r="751" spans="1:9">
      <c r="A751" s="232">
        <f t="shared" si="49"/>
        <v>749</v>
      </c>
      <c r="B751" s="233">
        <v>46193</v>
      </c>
      <c r="C751" s="234">
        <v>142.96197599999999</v>
      </c>
      <c r="D751" s="235">
        <v>135.8052732545944</v>
      </c>
      <c r="E751" s="234">
        <f t="shared" si="50"/>
        <v>135.8052732545944</v>
      </c>
      <c r="F751" s="239"/>
      <c r="G751" s="188" t="str">
        <f t="shared" si="47"/>
        <v/>
      </c>
      <c r="H751" s="236" t="str">
        <f t="shared" si="48"/>
        <v/>
      </c>
      <c r="I751" s="237"/>
    </row>
    <row r="752" spans="1:9">
      <c r="A752" s="232">
        <f t="shared" si="49"/>
        <v>750</v>
      </c>
      <c r="B752" s="233">
        <v>46194</v>
      </c>
      <c r="C752" s="234">
        <v>160.83565200000001</v>
      </c>
      <c r="D752" s="235">
        <v>135.8052732545944</v>
      </c>
      <c r="E752" s="234">
        <f t="shared" si="50"/>
        <v>135.8052732545944</v>
      </c>
      <c r="F752" s="239"/>
      <c r="G752" s="188" t="str">
        <f t="shared" si="47"/>
        <v/>
      </c>
      <c r="H752" s="236" t="str">
        <f t="shared" si="48"/>
        <v/>
      </c>
      <c r="I752" s="237"/>
    </row>
    <row r="753" spans="1:9">
      <c r="A753" s="232">
        <f t="shared" si="49"/>
        <v>751</v>
      </c>
      <c r="B753" s="233">
        <v>46195</v>
      </c>
      <c r="C753" s="234">
        <v>142.05399300000002</v>
      </c>
      <c r="D753" s="235">
        <v>135.8052732545944</v>
      </c>
      <c r="E753" s="234">
        <f t="shared" si="50"/>
        <v>135.8052732545944</v>
      </c>
      <c r="F753" s="239"/>
      <c r="G753" s="188" t="str">
        <f t="shared" si="47"/>
        <v/>
      </c>
      <c r="H753" s="236" t="str">
        <f t="shared" si="48"/>
        <v/>
      </c>
      <c r="I753" s="237"/>
    </row>
    <row r="754" spans="1:9">
      <c r="A754" s="232">
        <f t="shared" si="49"/>
        <v>752</v>
      </c>
      <c r="B754" s="233">
        <v>46196</v>
      </c>
      <c r="C754" s="234">
        <v>111.80208799999998</v>
      </c>
      <c r="D754" s="235">
        <v>135.8052732545944</v>
      </c>
      <c r="E754" s="234">
        <f t="shared" si="50"/>
        <v>111.80208799999998</v>
      </c>
      <c r="F754" s="239"/>
      <c r="G754" s="188" t="str">
        <f t="shared" si="47"/>
        <v/>
      </c>
      <c r="H754" s="236" t="str">
        <f t="shared" si="48"/>
        <v/>
      </c>
      <c r="I754" s="237"/>
    </row>
    <row r="755" spans="1:9">
      <c r="A755" s="232">
        <f t="shared" si="49"/>
        <v>753</v>
      </c>
      <c r="B755" s="233">
        <v>46197</v>
      </c>
      <c r="C755" s="234">
        <v>117.688106</v>
      </c>
      <c r="D755" s="235">
        <v>135.8052732545944</v>
      </c>
      <c r="E755" s="234">
        <f t="shared" si="50"/>
        <v>117.688106</v>
      </c>
      <c r="F755" s="239"/>
      <c r="G755" s="188" t="str">
        <f t="shared" si="47"/>
        <v/>
      </c>
      <c r="H755" s="236" t="str">
        <f t="shared" si="48"/>
        <v/>
      </c>
      <c r="I755" s="237"/>
    </row>
    <row r="756" spans="1:9">
      <c r="A756" s="232">
        <f t="shared" si="49"/>
        <v>754</v>
      </c>
      <c r="B756" s="233">
        <v>46198</v>
      </c>
      <c r="C756" s="234">
        <v>157.42942199999999</v>
      </c>
      <c r="D756" s="235">
        <v>135.8052732545944</v>
      </c>
      <c r="E756" s="234">
        <f t="shared" si="50"/>
        <v>135.8052732545944</v>
      </c>
      <c r="F756" s="239"/>
      <c r="G756" s="188" t="str">
        <f t="shared" si="47"/>
        <v/>
      </c>
      <c r="H756" s="236" t="str">
        <f t="shared" si="48"/>
        <v/>
      </c>
      <c r="I756" s="237"/>
    </row>
    <row r="757" spans="1:9">
      <c r="A757" s="232">
        <f t="shared" si="49"/>
        <v>755</v>
      </c>
      <c r="B757" s="233">
        <v>46199</v>
      </c>
      <c r="C757" s="234">
        <v>100.43593399999999</v>
      </c>
      <c r="D757" s="235">
        <v>135.8052732545944</v>
      </c>
      <c r="E757" s="234">
        <f t="shared" si="50"/>
        <v>100.43593399999999</v>
      </c>
      <c r="F757" s="239"/>
      <c r="G757" s="188" t="str">
        <f t="shared" si="47"/>
        <v/>
      </c>
      <c r="H757" s="236" t="str">
        <f t="shared" si="48"/>
        <v/>
      </c>
      <c r="I757" s="237"/>
    </row>
    <row r="758" spans="1:9">
      <c r="A758" s="232">
        <f t="shared" si="49"/>
        <v>756</v>
      </c>
      <c r="B758" s="233">
        <v>46200</v>
      </c>
      <c r="C758" s="234">
        <v>92.335983000000013</v>
      </c>
      <c r="D758" s="235">
        <v>135.8052732545944</v>
      </c>
      <c r="E758" s="234">
        <f t="shared" si="50"/>
        <v>92.335983000000013</v>
      </c>
      <c r="F758" s="239"/>
      <c r="G758" s="188" t="str">
        <f t="shared" si="47"/>
        <v/>
      </c>
      <c r="H758" s="236" t="str">
        <f t="shared" si="48"/>
        <v/>
      </c>
      <c r="I758" s="237"/>
    </row>
    <row r="759" spans="1:9">
      <c r="A759" s="232">
        <f t="shared" si="49"/>
        <v>757</v>
      </c>
      <c r="B759" s="233">
        <v>46201</v>
      </c>
      <c r="C759" s="234">
        <v>104.257893</v>
      </c>
      <c r="D759" s="235">
        <v>135.8052732545944</v>
      </c>
      <c r="E759" s="234">
        <f t="shared" si="50"/>
        <v>104.257893</v>
      </c>
      <c r="F759" s="239"/>
      <c r="G759" s="188" t="str">
        <f t="shared" si="47"/>
        <v/>
      </c>
      <c r="H759" s="236" t="str">
        <f t="shared" si="48"/>
        <v/>
      </c>
      <c r="I759" s="237"/>
    </row>
    <row r="760" spans="1:9">
      <c r="A760" s="232">
        <f t="shared" si="49"/>
        <v>758</v>
      </c>
      <c r="B760" s="233">
        <v>46202</v>
      </c>
      <c r="C760" s="234">
        <v>183.717052</v>
      </c>
      <c r="D760" s="235">
        <v>135.8052732545944</v>
      </c>
      <c r="E760" s="234">
        <f t="shared" si="50"/>
        <v>135.8052732545944</v>
      </c>
      <c r="F760" s="239"/>
      <c r="G760" s="188" t="str">
        <f t="shared" si="47"/>
        <v/>
      </c>
      <c r="H760" s="236" t="str">
        <f t="shared" si="48"/>
        <v/>
      </c>
      <c r="I760" s="237"/>
    </row>
    <row r="761" spans="1:9">
      <c r="A761" s="232">
        <f t="shared" si="49"/>
        <v>759</v>
      </c>
      <c r="B761" s="233">
        <v>46203</v>
      </c>
      <c r="C761" s="234">
        <v>140.59270699999999</v>
      </c>
      <c r="D761" s="235">
        <v>135.8052732545944</v>
      </c>
      <c r="E761" s="234">
        <f t="shared" ref="E761" si="51">IF(C761&gt;D761,D761,C761)</f>
        <v>135.8052732545944</v>
      </c>
      <c r="F761" s="239"/>
      <c r="G761" s="188" t="str">
        <f t="shared" ref="G761" si="52">IF(DAY(B761)=15,IF(MONTH(B761)=1,"E",IF(MONTH(B761)=2,"F",IF(MONTH(B761)=3,"M",IF(MONTH(B761)=4,"A",IF(MONTH(B761)=5,"M",IF(MONTH(B761)=6,"J",IF(MONTH(B761)=7,"J",IF(MONTH(B761)=8,"A",IF(MONTH(B761)=9,"S",IF(MONTH(B761)=10,"O",IF(MONTH(B761)=11,"N",IF(MONTH(B761)=12,"D","")))))))))))),"")</f>
        <v/>
      </c>
      <c r="H761" s="236" t="str">
        <f t="shared" ref="H761" si="53">IF(DAY($B761)=15,TEXT(D761,"#,0"),"")</f>
        <v/>
      </c>
      <c r="I761" s="237"/>
    </row>
    <row r="762" spans="1:9">
      <c r="B762" s="233"/>
      <c r="C762" s="234"/>
      <c r="D762" s="235"/>
      <c r="E762" s="234"/>
      <c r="F762" s="239"/>
      <c r="G762" s="188"/>
      <c r="H762" s="236"/>
      <c r="I762" s="237"/>
    </row>
    <row r="763" spans="1:9">
      <c r="B763" s="233"/>
      <c r="C763" s="234"/>
      <c r="D763" s="235"/>
      <c r="E763" s="234"/>
      <c r="F763" s="239"/>
      <c r="G763" s="188"/>
      <c r="H763" s="236"/>
      <c r="I763" s="237"/>
    </row>
    <row r="764" spans="1:9">
      <c r="B764" s="233"/>
      <c r="C764" s="234"/>
      <c r="D764" s="235"/>
      <c r="E764" s="234"/>
      <c r="F764" s="239"/>
      <c r="G764" s="188"/>
      <c r="H764" s="236"/>
      <c r="I764" s="237"/>
    </row>
    <row r="765" spans="1:9">
      <c r="B765" s="233"/>
      <c r="C765" s="234"/>
      <c r="D765" s="235"/>
      <c r="E765" s="234"/>
      <c r="F765" s="239"/>
      <c r="G765" s="188"/>
      <c r="H765" s="236"/>
      <c r="I765" s="237"/>
    </row>
    <row r="766" spans="1:9">
      <c r="B766" s="233"/>
      <c r="C766" s="234"/>
      <c r="D766" s="235"/>
      <c r="E766" s="234"/>
      <c r="F766" s="239"/>
      <c r="G766" s="188"/>
      <c r="H766" s="236"/>
      <c r="I766" s="237"/>
    </row>
    <row r="767" spans="1:9">
      <c r="B767" s="233"/>
      <c r="C767" s="234"/>
      <c r="D767" s="235"/>
      <c r="E767" s="234"/>
      <c r="F767" s="239"/>
      <c r="G767" s="188"/>
      <c r="H767" s="236"/>
      <c r="I767" s="237"/>
    </row>
    <row r="768" spans="1:9">
      <c r="B768" s="233"/>
      <c r="C768" s="234"/>
      <c r="D768" s="235"/>
      <c r="E768" s="234"/>
      <c r="F768" s="239"/>
      <c r="G768" s="188"/>
      <c r="H768" s="236"/>
      <c r="I768" s="237"/>
    </row>
    <row r="769" spans="2:9">
      <c r="B769" s="233"/>
      <c r="C769" s="234"/>
      <c r="D769" s="235"/>
      <c r="E769" s="234"/>
      <c r="F769" s="239"/>
      <c r="G769" s="188"/>
      <c r="H769" s="236"/>
      <c r="I769" s="237"/>
    </row>
    <row r="770" spans="2:9">
      <c r="B770" s="233"/>
      <c r="C770" s="234"/>
      <c r="D770" s="235"/>
      <c r="E770" s="234"/>
      <c r="F770" s="239"/>
      <c r="G770" s="188"/>
      <c r="H770" s="236"/>
      <c r="I770" s="237"/>
    </row>
    <row r="771" spans="2:9">
      <c r="B771" s="233"/>
      <c r="C771" s="234"/>
      <c r="D771" s="235"/>
      <c r="E771" s="234"/>
      <c r="F771" s="239"/>
      <c r="G771" s="188"/>
      <c r="H771" s="236"/>
      <c r="I771" s="237"/>
    </row>
    <row r="772" spans="2:9">
      <c r="B772" s="233"/>
      <c r="C772" s="234"/>
      <c r="D772" s="235"/>
      <c r="E772" s="234"/>
      <c r="F772" s="239"/>
      <c r="G772" s="188"/>
      <c r="H772" s="236"/>
      <c r="I772" s="237"/>
    </row>
    <row r="773" spans="2:9">
      <c r="B773" s="233"/>
      <c r="C773" s="234"/>
      <c r="D773" s="235"/>
      <c r="E773" s="234"/>
      <c r="F773" s="239"/>
      <c r="G773" s="188"/>
      <c r="H773" s="236"/>
      <c r="I773" s="237"/>
    </row>
    <row r="774" spans="2:9">
      <c r="B774" s="233"/>
      <c r="C774" s="234"/>
      <c r="D774" s="235"/>
      <c r="E774" s="234"/>
      <c r="F774" s="239"/>
      <c r="G774" s="188"/>
      <c r="H774" s="236"/>
      <c r="I774" s="237"/>
    </row>
    <row r="775" spans="2:9">
      <c r="B775" s="233"/>
      <c r="C775" s="234"/>
      <c r="D775" s="235"/>
      <c r="E775" s="234"/>
      <c r="F775" s="239"/>
      <c r="G775" s="188"/>
      <c r="H775" s="236"/>
      <c r="I775" s="237"/>
    </row>
    <row r="776" spans="2:9">
      <c r="B776" s="233"/>
      <c r="C776" s="234"/>
      <c r="D776" s="235"/>
      <c r="E776" s="234"/>
      <c r="F776" s="239"/>
      <c r="G776" s="188"/>
      <c r="H776" s="236"/>
      <c r="I776" s="237"/>
    </row>
    <row r="777" spans="2:9">
      <c r="B777" s="233"/>
      <c r="C777" s="234"/>
      <c r="D777" s="235"/>
      <c r="E777" s="234"/>
      <c r="F777" s="239"/>
      <c r="G777" s="188"/>
      <c r="H777" s="236"/>
      <c r="I777" s="237"/>
    </row>
    <row r="778" spans="2:9">
      <c r="B778" s="233"/>
      <c r="C778" s="234"/>
      <c r="D778" s="235"/>
      <c r="E778" s="234"/>
      <c r="F778" s="239"/>
      <c r="G778" s="188"/>
      <c r="H778" s="236"/>
      <c r="I778" s="237"/>
    </row>
    <row r="779" spans="2:9">
      <c r="B779" s="233"/>
      <c r="C779" s="234"/>
      <c r="D779" s="235"/>
      <c r="E779" s="234"/>
      <c r="F779" s="239"/>
      <c r="G779" s="188"/>
      <c r="H779" s="236"/>
      <c r="I779" s="237"/>
    </row>
    <row r="780" spans="2:9">
      <c r="B780" s="233"/>
      <c r="C780" s="234"/>
      <c r="D780" s="235"/>
      <c r="E780" s="234"/>
      <c r="F780" s="239"/>
      <c r="G780" s="188"/>
      <c r="H780" s="236"/>
      <c r="I780" s="237"/>
    </row>
    <row r="781" spans="2:9">
      <c r="B781" s="233"/>
      <c r="C781" s="234"/>
      <c r="D781" s="235"/>
      <c r="E781" s="234"/>
      <c r="F781" s="239"/>
      <c r="G781" s="188"/>
      <c r="H781" s="236"/>
      <c r="I781" s="237"/>
    </row>
    <row r="782" spans="2:9">
      <c r="B782" s="233"/>
      <c r="C782" s="234"/>
      <c r="D782" s="235"/>
      <c r="E782" s="234"/>
      <c r="F782" s="239"/>
      <c r="G782" s="188"/>
      <c r="H782" s="236"/>
      <c r="I782" s="237"/>
    </row>
    <row r="783" spans="2:9">
      <c r="B783" s="233"/>
      <c r="C783" s="234"/>
      <c r="D783" s="235"/>
      <c r="E783" s="234"/>
      <c r="F783" s="239"/>
      <c r="G783" s="188"/>
      <c r="H783" s="236"/>
      <c r="I783" s="237"/>
    </row>
    <row r="784" spans="2:9">
      <c r="B784" s="233"/>
      <c r="C784" s="234"/>
      <c r="D784" s="235"/>
      <c r="E784" s="234"/>
      <c r="F784" s="239"/>
      <c r="G784" s="188"/>
      <c r="H784" s="236"/>
      <c r="I784" s="237"/>
    </row>
    <row r="785" spans="2:9">
      <c r="B785" s="233"/>
      <c r="C785" s="234"/>
      <c r="D785" s="235"/>
      <c r="E785" s="234"/>
      <c r="F785" s="239"/>
      <c r="G785" s="188"/>
      <c r="H785" s="236"/>
      <c r="I785" s="237"/>
    </row>
    <row r="786" spans="2:9">
      <c r="B786" s="233"/>
      <c r="C786" s="234"/>
      <c r="D786" s="235"/>
      <c r="E786" s="234"/>
      <c r="F786" s="239"/>
      <c r="G786" s="188"/>
      <c r="H786" s="236"/>
      <c r="I786" s="237"/>
    </row>
    <row r="787" spans="2:9">
      <c r="B787" s="233"/>
      <c r="C787" s="234"/>
      <c r="D787" s="235"/>
      <c r="E787" s="234"/>
      <c r="F787" s="239"/>
      <c r="G787" s="188"/>
      <c r="H787" s="236"/>
      <c r="I787" s="237"/>
    </row>
    <row r="788" spans="2:9">
      <c r="B788" s="233"/>
      <c r="C788" s="234"/>
      <c r="D788" s="235"/>
      <c r="E788" s="234"/>
      <c r="F788" s="239"/>
      <c r="G788" s="188"/>
      <c r="H788" s="236"/>
      <c r="I788" s="237"/>
    </row>
    <row r="789" spans="2:9">
      <c r="B789" s="233"/>
      <c r="C789" s="234"/>
      <c r="D789" s="235"/>
      <c r="E789" s="234"/>
      <c r="F789" s="239"/>
      <c r="G789" s="188"/>
      <c r="H789" s="236"/>
      <c r="I789" s="237"/>
    </row>
    <row r="790" spans="2:9">
      <c r="B790" s="233"/>
      <c r="C790" s="234"/>
      <c r="D790" s="235"/>
      <c r="E790" s="234"/>
      <c r="F790" s="239"/>
      <c r="G790" s="188"/>
      <c r="H790" s="236"/>
      <c r="I790" s="237"/>
    </row>
    <row r="791" spans="2:9">
      <c r="B791" s="233"/>
      <c r="C791" s="234"/>
      <c r="D791" s="235"/>
      <c r="E791" s="234"/>
      <c r="F791" s="239"/>
      <c r="G791" s="188"/>
      <c r="H791" s="236"/>
      <c r="I791" s="237"/>
    </row>
    <row r="792" spans="2:9">
      <c r="B792" s="233"/>
      <c r="C792" s="234"/>
      <c r="D792" s="235"/>
      <c r="E792" s="234"/>
      <c r="F792" s="239"/>
      <c r="G792" s="188"/>
      <c r="H792" s="236"/>
      <c r="I792" s="237"/>
    </row>
    <row r="793" spans="2:9">
      <c r="B793" s="233"/>
      <c r="C793" s="234"/>
      <c r="D793" s="235"/>
      <c r="E793" s="234"/>
      <c r="F793" s="239"/>
      <c r="G793" s="188"/>
      <c r="H793" s="236"/>
      <c r="I793" s="237"/>
    </row>
    <row r="794" spans="2:9">
      <c r="B794" s="233"/>
      <c r="C794" s="234"/>
      <c r="D794" s="235"/>
      <c r="E794" s="234"/>
      <c r="F794" s="239"/>
      <c r="G794" s="188"/>
      <c r="H794" s="236"/>
      <c r="I794" s="237"/>
    </row>
    <row r="795" spans="2:9">
      <c r="B795" s="233"/>
      <c r="C795" s="234"/>
      <c r="D795" s="235"/>
      <c r="E795" s="234"/>
      <c r="F795" s="239"/>
      <c r="G795" s="188"/>
      <c r="H795" s="236"/>
      <c r="I795" s="237"/>
    </row>
    <row r="796" spans="2:9">
      <c r="B796" s="233"/>
      <c r="C796" s="234"/>
      <c r="D796" s="235"/>
      <c r="E796" s="234"/>
      <c r="F796" s="239"/>
      <c r="G796" s="188"/>
      <c r="H796" s="236"/>
      <c r="I796" s="237"/>
    </row>
    <row r="797" spans="2:9">
      <c r="B797" s="233"/>
      <c r="C797" s="234"/>
      <c r="D797" s="235"/>
      <c r="E797" s="234"/>
      <c r="F797" s="239"/>
      <c r="G797" s="188"/>
      <c r="H797" s="236"/>
      <c r="I797" s="237"/>
    </row>
    <row r="798" spans="2:9">
      <c r="B798" s="233"/>
      <c r="C798" s="234"/>
      <c r="D798" s="235"/>
      <c r="E798" s="234"/>
      <c r="F798" s="239"/>
      <c r="G798" s="188"/>
      <c r="H798" s="236"/>
      <c r="I798" s="237"/>
    </row>
    <row r="799" spans="2:9">
      <c r="B799" s="233"/>
      <c r="C799" s="234"/>
      <c r="D799" s="235"/>
      <c r="E799" s="234"/>
      <c r="F799" s="239"/>
      <c r="G799" s="188"/>
      <c r="H799" s="236"/>
      <c r="I799" s="237"/>
    </row>
    <row r="800" spans="2:9">
      <c r="B800" s="233"/>
      <c r="C800" s="234"/>
      <c r="D800" s="235"/>
      <c r="E800" s="234"/>
      <c r="F800" s="239"/>
      <c r="G800" s="188"/>
      <c r="H800" s="236"/>
      <c r="I800" s="237"/>
    </row>
    <row r="801" spans="2:9">
      <c r="B801" s="233"/>
      <c r="C801" s="234"/>
      <c r="D801" s="235"/>
      <c r="E801" s="234"/>
      <c r="F801" s="239"/>
      <c r="G801" s="188"/>
      <c r="H801" s="236"/>
      <c r="I801" s="237"/>
    </row>
    <row r="802" spans="2:9">
      <c r="B802" s="233"/>
      <c r="C802" s="234"/>
      <c r="D802" s="235"/>
      <c r="E802" s="234"/>
      <c r="F802" s="239"/>
      <c r="G802" s="188"/>
      <c r="H802" s="236"/>
      <c r="I802" s="237"/>
    </row>
    <row r="803" spans="2:9">
      <c r="B803" s="233"/>
      <c r="C803" s="234"/>
      <c r="D803" s="235"/>
      <c r="E803" s="234"/>
      <c r="F803" s="239"/>
      <c r="G803" s="188"/>
      <c r="H803" s="236"/>
      <c r="I803" s="237"/>
    </row>
    <row r="804" spans="2:9">
      <c r="B804" s="233"/>
      <c r="C804" s="234"/>
      <c r="D804" s="235"/>
      <c r="E804" s="234"/>
      <c r="F804" s="239"/>
      <c r="G804" s="188"/>
      <c r="H804" s="236"/>
      <c r="I804" s="2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3"/>
  <sheetViews>
    <sheetView showGridLines="0" showRowColHeaders="0" zoomScaleNormal="100" workbookViewId="0">
      <selection activeCell="G22" sqref="G2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7.5703125" style="17" customWidth="1"/>
    <col min="6" max="6" width="10.5703125" style="22" customWidth="1"/>
    <col min="7" max="7" width="10.5703125" style="17" customWidth="1"/>
    <col min="8" max="8" width="10.5703125" style="22" customWidth="1"/>
    <col min="9" max="9" width="10.5703125" style="17" customWidth="1"/>
    <col min="10" max="10" width="10.5703125" style="22" customWidth="1"/>
    <col min="11" max="11" width="10.5703125" style="17" customWidth="1"/>
    <col min="12" max="13" width="11.42578125" style="17"/>
    <col min="14" max="17" width="11.5703125" style="17" bestFit="1" customWidth="1"/>
    <col min="18" max="18" width="12.42578125" style="17" bestFit="1" customWidth="1"/>
    <col min="19" max="19" width="11.5703125" style="17" bestFit="1" customWidth="1"/>
    <col min="20" max="246" width="11.42578125" style="17"/>
    <col min="247" max="247" width="0.42578125" style="17" customWidth="1"/>
    <col min="248" max="248" width="2.5703125" style="17" customWidth="1"/>
    <col min="249" max="249" width="15.42578125" style="17" customWidth="1"/>
    <col min="250" max="250" width="1.42578125" style="17" customWidth="1"/>
    <col min="251" max="251" width="27.5703125" style="17" customWidth="1"/>
    <col min="252" max="252" width="6.5703125" style="17" customWidth="1"/>
    <col min="253" max="253" width="1.5703125" style="17" customWidth="1"/>
    <col min="254" max="254" width="10.5703125" style="17" customWidth="1"/>
    <col min="255" max="255" width="5.5703125" style="17" customWidth="1"/>
    <col min="256" max="256" width="1.5703125" style="17" customWidth="1"/>
    <col min="257" max="257" width="10.5703125" style="17" customWidth="1"/>
    <col min="258" max="258" width="6.5703125" style="17" customWidth="1"/>
    <col min="259" max="259" width="1.5703125" style="17" customWidth="1"/>
    <col min="260" max="260" width="10.5703125" style="17" customWidth="1"/>
    <col min="261" max="261" width="9.5703125" style="17" customWidth="1"/>
    <col min="262" max="262" width="13.42578125" style="17" bestFit="1" customWidth="1"/>
    <col min="263" max="263" width="7.5703125" style="17" customWidth="1"/>
    <col min="264" max="264" width="11.42578125" style="17"/>
    <col min="265" max="265" width="13.42578125" style="17" bestFit="1" customWidth="1"/>
    <col min="266" max="502" width="11.42578125" style="17"/>
    <col min="503" max="503" width="0.42578125" style="17" customWidth="1"/>
    <col min="504" max="504" width="2.5703125" style="17" customWidth="1"/>
    <col min="505" max="505" width="15.42578125" style="17" customWidth="1"/>
    <col min="506" max="506" width="1.42578125" style="17" customWidth="1"/>
    <col min="507" max="507" width="27.5703125" style="17" customWidth="1"/>
    <col min="508" max="508" width="6.5703125" style="17" customWidth="1"/>
    <col min="509" max="509" width="1.5703125" style="17" customWidth="1"/>
    <col min="510" max="510" width="10.5703125" style="17" customWidth="1"/>
    <col min="511" max="511" width="5.5703125" style="17" customWidth="1"/>
    <col min="512" max="512" width="1.5703125" style="17" customWidth="1"/>
    <col min="513" max="513" width="10.5703125" style="17" customWidth="1"/>
    <col min="514" max="514" width="6.5703125" style="17" customWidth="1"/>
    <col min="515" max="515" width="1.5703125" style="17" customWidth="1"/>
    <col min="516" max="516" width="10.5703125" style="17" customWidth="1"/>
    <col min="517" max="517" width="9.5703125" style="17" customWidth="1"/>
    <col min="518" max="518" width="13.42578125" style="17" bestFit="1" customWidth="1"/>
    <col min="519" max="519" width="7.5703125" style="17" customWidth="1"/>
    <col min="520" max="520" width="11.42578125" style="17"/>
    <col min="521" max="521" width="13.42578125" style="17" bestFit="1" customWidth="1"/>
    <col min="522" max="758" width="11.42578125" style="17"/>
    <col min="759" max="759" width="0.42578125" style="17" customWidth="1"/>
    <col min="760" max="760" width="2.5703125" style="17" customWidth="1"/>
    <col min="761" max="761" width="15.42578125" style="17" customWidth="1"/>
    <col min="762" max="762" width="1.42578125" style="17" customWidth="1"/>
    <col min="763" max="763" width="27.5703125" style="17" customWidth="1"/>
    <col min="764" max="764" width="6.5703125" style="17" customWidth="1"/>
    <col min="765" max="765" width="1.5703125" style="17" customWidth="1"/>
    <col min="766" max="766" width="10.5703125" style="17" customWidth="1"/>
    <col min="767" max="767" width="5.5703125" style="17" customWidth="1"/>
    <col min="768" max="768" width="1.5703125" style="17" customWidth="1"/>
    <col min="769" max="769" width="10.5703125" style="17" customWidth="1"/>
    <col min="770" max="770" width="6.5703125" style="17" customWidth="1"/>
    <col min="771" max="771" width="1.5703125" style="17" customWidth="1"/>
    <col min="772" max="772" width="10.5703125" style="17" customWidth="1"/>
    <col min="773" max="773" width="9.5703125" style="17" customWidth="1"/>
    <col min="774" max="774" width="13.42578125" style="17" bestFit="1" customWidth="1"/>
    <col min="775" max="775" width="7.5703125" style="17" customWidth="1"/>
    <col min="776" max="776" width="11.42578125" style="17"/>
    <col min="777" max="777" width="13.42578125" style="17" bestFit="1" customWidth="1"/>
    <col min="778" max="1014" width="11.42578125" style="17"/>
    <col min="1015" max="1015" width="0.42578125" style="17" customWidth="1"/>
    <col min="1016" max="1016" width="2.5703125" style="17" customWidth="1"/>
    <col min="1017" max="1017" width="15.42578125" style="17" customWidth="1"/>
    <col min="1018" max="1018" width="1.42578125" style="17" customWidth="1"/>
    <col min="1019" max="1019" width="27.5703125" style="17" customWidth="1"/>
    <col min="1020" max="1020" width="6.5703125" style="17" customWidth="1"/>
    <col min="1021" max="1021" width="1.5703125" style="17" customWidth="1"/>
    <col min="1022" max="1022" width="10.5703125" style="17" customWidth="1"/>
    <col min="1023" max="1023" width="5.5703125" style="17" customWidth="1"/>
    <col min="1024" max="1024" width="1.5703125" style="17" customWidth="1"/>
    <col min="1025" max="1025" width="10.5703125" style="17" customWidth="1"/>
    <col min="1026" max="1026" width="6.5703125" style="17" customWidth="1"/>
    <col min="1027" max="1027" width="1.5703125" style="17" customWidth="1"/>
    <col min="1028" max="1028" width="10.5703125" style="17" customWidth="1"/>
    <col min="1029" max="1029" width="9.5703125" style="17" customWidth="1"/>
    <col min="1030" max="1030" width="13.42578125" style="17" bestFit="1" customWidth="1"/>
    <col min="1031" max="1031" width="7.5703125" style="17" customWidth="1"/>
    <col min="1032" max="1032" width="11.42578125" style="17"/>
    <col min="1033" max="1033" width="13.42578125" style="17" bestFit="1" customWidth="1"/>
    <col min="1034" max="1270" width="11.42578125" style="17"/>
    <col min="1271" max="1271" width="0.42578125" style="17" customWidth="1"/>
    <col min="1272" max="1272" width="2.5703125" style="17" customWidth="1"/>
    <col min="1273" max="1273" width="15.42578125" style="17" customWidth="1"/>
    <col min="1274" max="1274" width="1.42578125" style="17" customWidth="1"/>
    <col min="1275" max="1275" width="27.5703125" style="17" customWidth="1"/>
    <col min="1276" max="1276" width="6.5703125" style="17" customWidth="1"/>
    <col min="1277" max="1277" width="1.5703125" style="17" customWidth="1"/>
    <col min="1278" max="1278" width="10.5703125" style="17" customWidth="1"/>
    <col min="1279" max="1279" width="5.5703125" style="17" customWidth="1"/>
    <col min="1280" max="1280" width="1.5703125" style="17" customWidth="1"/>
    <col min="1281" max="1281" width="10.5703125" style="17" customWidth="1"/>
    <col min="1282" max="1282" width="6.5703125" style="17" customWidth="1"/>
    <col min="1283" max="1283" width="1.5703125" style="17" customWidth="1"/>
    <col min="1284" max="1284" width="10.5703125" style="17" customWidth="1"/>
    <col min="1285" max="1285" width="9.5703125" style="17" customWidth="1"/>
    <col min="1286" max="1286" width="13.42578125" style="17" bestFit="1" customWidth="1"/>
    <col min="1287" max="1287" width="7.5703125" style="17" customWidth="1"/>
    <col min="1288" max="1288" width="11.42578125" style="17"/>
    <col min="1289" max="1289" width="13.42578125" style="17" bestFit="1" customWidth="1"/>
    <col min="1290" max="1526" width="11.42578125" style="17"/>
    <col min="1527" max="1527" width="0.42578125" style="17" customWidth="1"/>
    <col min="1528" max="1528" width="2.5703125" style="17" customWidth="1"/>
    <col min="1529" max="1529" width="15.42578125" style="17" customWidth="1"/>
    <col min="1530" max="1530" width="1.42578125" style="17" customWidth="1"/>
    <col min="1531" max="1531" width="27.5703125" style="17" customWidth="1"/>
    <col min="1532" max="1532" width="6.5703125" style="17" customWidth="1"/>
    <col min="1533" max="1533" width="1.5703125" style="17" customWidth="1"/>
    <col min="1534" max="1534" width="10.5703125" style="17" customWidth="1"/>
    <col min="1535" max="1535" width="5.5703125" style="17" customWidth="1"/>
    <col min="1536" max="1536" width="1.5703125" style="17" customWidth="1"/>
    <col min="1537" max="1537" width="10.5703125" style="17" customWidth="1"/>
    <col min="1538" max="1538" width="6.5703125" style="17" customWidth="1"/>
    <col min="1539" max="1539" width="1.5703125" style="17" customWidth="1"/>
    <col min="1540" max="1540" width="10.5703125" style="17" customWidth="1"/>
    <col min="1541" max="1541" width="9.5703125" style="17" customWidth="1"/>
    <col min="1542" max="1542" width="13.42578125" style="17" bestFit="1" customWidth="1"/>
    <col min="1543" max="1543" width="7.5703125" style="17" customWidth="1"/>
    <col min="1544" max="1544" width="11.42578125" style="17"/>
    <col min="1545" max="1545" width="13.42578125" style="17" bestFit="1" customWidth="1"/>
    <col min="1546" max="1782" width="11.42578125" style="17"/>
    <col min="1783" max="1783" width="0.42578125" style="17" customWidth="1"/>
    <col min="1784" max="1784" width="2.5703125" style="17" customWidth="1"/>
    <col min="1785" max="1785" width="15.42578125" style="17" customWidth="1"/>
    <col min="1786" max="1786" width="1.42578125" style="17" customWidth="1"/>
    <col min="1787" max="1787" width="27.5703125" style="17" customWidth="1"/>
    <col min="1788" max="1788" width="6.5703125" style="17" customWidth="1"/>
    <col min="1789" max="1789" width="1.5703125" style="17" customWidth="1"/>
    <col min="1790" max="1790" width="10.5703125" style="17" customWidth="1"/>
    <col min="1791" max="1791" width="5.5703125" style="17" customWidth="1"/>
    <col min="1792" max="1792" width="1.5703125" style="17" customWidth="1"/>
    <col min="1793" max="1793" width="10.5703125" style="17" customWidth="1"/>
    <col min="1794" max="1794" width="6.5703125" style="17" customWidth="1"/>
    <col min="1795" max="1795" width="1.5703125" style="17" customWidth="1"/>
    <col min="1796" max="1796" width="10.5703125" style="17" customWidth="1"/>
    <col min="1797" max="1797" width="9.5703125" style="17" customWidth="1"/>
    <col min="1798" max="1798" width="13.42578125" style="17" bestFit="1" customWidth="1"/>
    <col min="1799" max="1799" width="7.5703125" style="17" customWidth="1"/>
    <col min="1800" max="1800" width="11.42578125" style="17"/>
    <col min="1801" max="1801" width="13.42578125" style="17" bestFit="1" customWidth="1"/>
    <col min="1802" max="2038" width="11.42578125" style="17"/>
    <col min="2039" max="2039" width="0.42578125" style="17" customWidth="1"/>
    <col min="2040" max="2040" width="2.5703125" style="17" customWidth="1"/>
    <col min="2041" max="2041" width="15.42578125" style="17" customWidth="1"/>
    <col min="2042" max="2042" width="1.42578125" style="17" customWidth="1"/>
    <col min="2043" max="2043" width="27.5703125" style="17" customWidth="1"/>
    <col min="2044" max="2044" width="6.5703125" style="17" customWidth="1"/>
    <col min="2045" max="2045" width="1.5703125" style="17" customWidth="1"/>
    <col min="2046" max="2046" width="10.5703125" style="17" customWidth="1"/>
    <col min="2047" max="2047" width="5.5703125" style="17" customWidth="1"/>
    <col min="2048" max="2048" width="1.5703125" style="17" customWidth="1"/>
    <col min="2049" max="2049" width="10.5703125" style="17" customWidth="1"/>
    <col min="2050" max="2050" width="6.5703125" style="17" customWidth="1"/>
    <col min="2051" max="2051" width="1.5703125" style="17" customWidth="1"/>
    <col min="2052" max="2052" width="10.5703125" style="17" customWidth="1"/>
    <col min="2053" max="2053" width="9.5703125" style="17" customWidth="1"/>
    <col min="2054" max="2054" width="13.42578125" style="17" bestFit="1" customWidth="1"/>
    <col min="2055" max="2055" width="7.5703125" style="17" customWidth="1"/>
    <col min="2056" max="2056" width="11.42578125" style="17"/>
    <col min="2057" max="2057" width="13.42578125" style="17" bestFit="1" customWidth="1"/>
    <col min="2058" max="2294" width="11.42578125" style="17"/>
    <col min="2295" max="2295" width="0.42578125" style="17" customWidth="1"/>
    <col min="2296" max="2296" width="2.5703125" style="17" customWidth="1"/>
    <col min="2297" max="2297" width="15.42578125" style="17" customWidth="1"/>
    <col min="2298" max="2298" width="1.42578125" style="17" customWidth="1"/>
    <col min="2299" max="2299" width="27.5703125" style="17" customWidth="1"/>
    <col min="2300" max="2300" width="6.5703125" style="17" customWidth="1"/>
    <col min="2301" max="2301" width="1.5703125" style="17" customWidth="1"/>
    <col min="2302" max="2302" width="10.5703125" style="17" customWidth="1"/>
    <col min="2303" max="2303" width="5.5703125" style="17" customWidth="1"/>
    <col min="2304" max="2304" width="1.5703125" style="17" customWidth="1"/>
    <col min="2305" max="2305" width="10.5703125" style="17" customWidth="1"/>
    <col min="2306" max="2306" width="6.5703125" style="17" customWidth="1"/>
    <col min="2307" max="2307" width="1.5703125" style="17" customWidth="1"/>
    <col min="2308" max="2308" width="10.5703125" style="17" customWidth="1"/>
    <col min="2309" max="2309" width="9.5703125" style="17" customWidth="1"/>
    <col min="2310" max="2310" width="13.42578125" style="17" bestFit="1" customWidth="1"/>
    <col min="2311" max="2311" width="7.5703125" style="17" customWidth="1"/>
    <col min="2312" max="2312" width="11.42578125" style="17"/>
    <col min="2313" max="2313" width="13.42578125" style="17" bestFit="1" customWidth="1"/>
    <col min="2314" max="2550" width="11.42578125" style="17"/>
    <col min="2551" max="2551" width="0.42578125" style="17" customWidth="1"/>
    <col min="2552" max="2552" width="2.5703125" style="17" customWidth="1"/>
    <col min="2553" max="2553" width="15.42578125" style="17" customWidth="1"/>
    <col min="2554" max="2554" width="1.42578125" style="17" customWidth="1"/>
    <col min="2555" max="2555" width="27.5703125" style="17" customWidth="1"/>
    <col min="2556" max="2556" width="6.5703125" style="17" customWidth="1"/>
    <col min="2557" max="2557" width="1.5703125" style="17" customWidth="1"/>
    <col min="2558" max="2558" width="10.5703125" style="17" customWidth="1"/>
    <col min="2559" max="2559" width="5.5703125" style="17" customWidth="1"/>
    <col min="2560" max="2560" width="1.5703125" style="17" customWidth="1"/>
    <col min="2561" max="2561" width="10.5703125" style="17" customWidth="1"/>
    <col min="2562" max="2562" width="6.5703125" style="17" customWidth="1"/>
    <col min="2563" max="2563" width="1.5703125" style="17" customWidth="1"/>
    <col min="2564" max="2564" width="10.5703125" style="17" customWidth="1"/>
    <col min="2565" max="2565" width="9.5703125" style="17" customWidth="1"/>
    <col min="2566" max="2566" width="13.42578125" style="17" bestFit="1" customWidth="1"/>
    <col min="2567" max="2567" width="7.5703125" style="17" customWidth="1"/>
    <col min="2568" max="2568" width="11.42578125" style="17"/>
    <col min="2569" max="2569" width="13.42578125" style="17" bestFit="1" customWidth="1"/>
    <col min="2570" max="2806" width="11.42578125" style="17"/>
    <col min="2807" max="2807" width="0.42578125" style="17" customWidth="1"/>
    <col min="2808" max="2808" width="2.5703125" style="17" customWidth="1"/>
    <col min="2809" max="2809" width="15.42578125" style="17" customWidth="1"/>
    <col min="2810" max="2810" width="1.42578125" style="17" customWidth="1"/>
    <col min="2811" max="2811" width="27.5703125" style="17" customWidth="1"/>
    <col min="2812" max="2812" width="6.5703125" style="17" customWidth="1"/>
    <col min="2813" max="2813" width="1.5703125" style="17" customWidth="1"/>
    <col min="2814" max="2814" width="10.5703125" style="17" customWidth="1"/>
    <col min="2815" max="2815" width="5.5703125" style="17" customWidth="1"/>
    <col min="2816" max="2816" width="1.5703125" style="17" customWidth="1"/>
    <col min="2817" max="2817" width="10.5703125" style="17" customWidth="1"/>
    <col min="2818" max="2818" width="6.5703125" style="17" customWidth="1"/>
    <col min="2819" max="2819" width="1.5703125" style="17" customWidth="1"/>
    <col min="2820" max="2820" width="10.5703125" style="17" customWidth="1"/>
    <col min="2821" max="2821" width="9.5703125" style="17" customWidth="1"/>
    <col min="2822" max="2822" width="13.42578125" style="17" bestFit="1" customWidth="1"/>
    <col min="2823" max="2823" width="7.5703125" style="17" customWidth="1"/>
    <col min="2824" max="2824" width="11.42578125" style="17"/>
    <col min="2825" max="2825" width="13.42578125" style="17" bestFit="1" customWidth="1"/>
    <col min="2826" max="3062" width="11.42578125" style="17"/>
    <col min="3063" max="3063" width="0.42578125" style="17" customWidth="1"/>
    <col min="3064" max="3064" width="2.5703125" style="17" customWidth="1"/>
    <col min="3065" max="3065" width="15.42578125" style="17" customWidth="1"/>
    <col min="3066" max="3066" width="1.42578125" style="17" customWidth="1"/>
    <col min="3067" max="3067" width="27.5703125" style="17" customWidth="1"/>
    <col min="3068" max="3068" width="6.5703125" style="17" customWidth="1"/>
    <col min="3069" max="3069" width="1.5703125" style="17" customWidth="1"/>
    <col min="3070" max="3070" width="10.5703125" style="17" customWidth="1"/>
    <col min="3071" max="3071" width="5.5703125" style="17" customWidth="1"/>
    <col min="3072" max="3072" width="1.5703125" style="17" customWidth="1"/>
    <col min="3073" max="3073" width="10.5703125" style="17" customWidth="1"/>
    <col min="3074" max="3074" width="6.5703125" style="17" customWidth="1"/>
    <col min="3075" max="3075" width="1.5703125" style="17" customWidth="1"/>
    <col min="3076" max="3076" width="10.5703125" style="17" customWidth="1"/>
    <col min="3077" max="3077" width="9.5703125" style="17" customWidth="1"/>
    <col min="3078" max="3078" width="13.42578125" style="17" bestFit="1" customWidth="1"/>
    <col min="3079" max="3079" width="7.5703125" style="17" customWidth="1"/>
    <col min="3080" max="3080" width="11.42578125" style="17"/>
    <col min="3081" max="3081" width="13.42578125" style="17" bestFit="1" customWidth="1"/>
    <col min="3082" max="3318" width="11.42578125" style="17"/>
    <col min="3319" max="3319" width="0.42578125" style="17" customWidth="1"/>
    <col min="3320" max="3320" width="2.5703125" style="17" customWidth="1"/>
    <col min="3321" max="3321" width="15.42578125" style="17" customWidth="1"/>
    <col min="3322" max="3322" width="1.42578125" style="17" customWidth="1"/>
    <col min="3323" max="3323" width="27.5703125" style="17" customWidth="1"/>
    <col min="3324" max="3324" width="6.5703125" style="17" customWidth="1"/>
    <col min="3325" max="3325" width="1.5703125" style="17" customWidth="1"/>
    <col min="3326" max="3326" width="10.5703125" style="17" customWidth="1"/>
    <col min="3327" max="3327" width="5.5703125" style="17" customWidth="1"/>
    <col min="3328" max="3328" width="1.5703125" style="17" customWidth="1"/>
    <col min="3329" max="3329" width="10.5703125" style="17" customWidth="1"/>
    <col min="3330" max="3330" width="6.5703125" style="17" customWidth="1"/>
    <col min="3331" max="3331" width="1.5703125" style="17" customWidth="1"/>
    <col min="3332" max="3332" width="10.5703125" style="17" customWidth="1"/>
    <col min="3333" max="3333" width="9.5703125" style="17" customWidth="1"/>
    <col min="3334" max="3334" width="13.42578125" style="17" bestFit="1" customWidth="1"/>
    <col min="3335" max="3335" width="7.5703125" style="17" customWidth="1"/>
    <col min="3336" max="3336" width="11.42578125" style="17"/>
    <col min="3337" max="3337" width="13.42578125" style="17" bestFit="1" customWidth="1"/>
    <col min="3338" max="3574" width="11.42578125" style="17"/>
    <col min="3575" max="3575" width="0.42578125" style="17" customWidth="1"/>
    <col min="3576" max="3576" width="2.5703125" style="17" customWidth="1"/>
    <col min="3577" max="3577" width="15.42578125" style="17" customWidth="1"/>
    <col min="3578" max="3578" width="1.42578125" style="17" customWidth="1"/>
    <col min="3579" max="3579" width="27.5703125" style="17" customWidth="1"/>
    <col min="3580" max="3580" width="6.5703125" style="17" customWidth="1"/>
    <col min="3581" max="3581" width="1.5703125" style="17" customWidth="1"/>
    <col min="3582" max="3582" width="10.5703125" style="17" customWidth="1"/>
    <col min="3583" max="3583" width="5.5703125" style="17" customWidth="1"/>
    <col min="3584" max="3584" width="1.5703125" style="17" customWidth="1"/>
    <col min="3585" max="3585" width="10.5703125" style="17" customWidth="1"/>
    <col min="3586" max="3586" width="6.5703125" style="17" customWidth="1"/>
    <col min="3587" max="3587" width="1.5703125" style="17" customWidth="1"/>
    <col min="3588" max="3588" width="10.5703125" style="17" customWidth="1"/>
    <col min="3589" max="3589" width="9.5703125" style="17" customWidth="1"/>
    <col min="3590" max="3590" width="13.42578125" style="17" bestFit="1" customWidth="1"/>
    <col min="3591" max="3591" width="7.5703125" style="17" customWidth="1"/>
    <col min="3592" max="3592" width="11.42578125" style="17"/>
    <col min="3593" max="3593" width="13.42578125" style="17" bestFit="1" customWidth="1"/>
    <col min="3594" max="3830" width="11.42578125" style="17"/>
    <col min="3831" max="3831" width="0.42578125" style="17" customWidth="1"/>
    <col min="3832" max="3832" width="2.5703125" style="17" customWidth="1"/>
    <col min="3833" max="3833" width="15.42578125" style="17" customWidth="1"/>
    <col min="3834" max="3834" width="1.42578125" style="17" customWidth="1"/>
    <col min="3835" max="3835" width="27.5703125" style="17" customWidth="1"/>
    <col min="3836" max="3836" width="6.5703125" style="17" customWidth="1"/>
    <col min="3837" max="3837" width="1.5703125" style="17" customWidth="1"/>
    <col min="3838" max="3838" width="10.5703125" style="17" customWidth="1"/>
    <col min="3839" max="3839" width="5.5703125" style="17" customWidth="1"/>
    <col min="3840" max="3840" width="1.5703125" style="17" customWidth="1"/>
    <col min="3841" max="3841" width="10.5703125" style="17" customWidth="1"/>
    <col min="3842" max="3842" width="6.5703125" style="17" customWidth="1"/>
    <col min="3843" max="3843" width="1.5703125" style="17" customWidth="1"/>
    <col min="3844" max="3844" width="10.5703125" style="17" customWidth="1"/>
    <col min="3845" max="3845" width="9.5703125" style="17" customWidth="1"/>
    <col min="3846" max="3846" width="13.42578125" style="17" bestFit="1" customWidth="1"/>
    <col min="3847" max="3847" width="7.5703125" style="17" customWidth="1"/>
    <col min="3848" max="3848" width="11.42578125" style="17"/>
    <col min="3849" max="3849" width="13.42578125" style="17" bestFit="1" customWidth="1"/>
    <col min="3850" max="4086" width="11.42578125" style="17"/>
    <col min="4087" max="4087" width="0.42578125" style="17" customWidth="1"/>
    <col min="4088" max="4088" width="2.5703125" style="17" customWidth="1"/>
    <col min="4089" max="4089" width="15.42578125" style="17" customWidth="1"/>
    <col min="4090" max="4090" width="1.42578125" style="17" customWidth="1"/>
    <col min="4091" max="4091" width="27.5703125" style="17" customWidth="1"/>
    <col min="4092" max="4092" width="6.5703125" style="17" customWidth="1"/>
    <col min="4093" max="4093" width="1.5703125" style="17" customWidth="1"/>
    <col min="4094" max="4094" width="10.5703125" style="17" customWidth="1"/>
    <col min="4095" max="4095" width="5.5703125" style="17" customWidth="1"/>
    <col min="4096" max="4096" width="1.5703125" style="17" customWidth="1"/>
    <col min="4097" max="4097" width="10.5703125" style="17" customWidth="1"/>
    <col min="4098" max="4098" width="6.5703125" style="17" customWidth="1"/>
    <col min="4099" max="4099" width="1.5703125" style="17" customWidth="1"/>
    <col min="4100" max="4100" width="10.5703125" style="17" customWidth="1"/>
    <col min="4101" max="4101" width="9.5703125" style="17" customWidth="1"/>
    <col min="4102" max="4102" width="13.42578125" style="17" bestFit="1" customWidth="1"/>
    <col min="4103" max="4103" width="7.5703125" style="17" customWidth="1"/>
    <col min="4104" max="4104" width="11.42578125" style="17"/>
    <col min="4105" max="4105" width="13.42578125" style="17" bestFit="1" customWidth="1"/>
    <col min="4106" max="4342" width="11.42578125" style="17"/>
    <col min="4343" max="4343" width="0.42578125" style="17" customWidth="1"/>
    <col min="4344" max="4344" width="2.5703125" style="17" customWidth="1"/>
    <col min="4345" max="4345" width="15.42578125" style="17" customWidth="1"/>
    <col min="4346" max="4346" width="1.42578125" style="17" customWidth="1"/>
    <col min="4347" max="4347" width="27.5703125" style="17" customWidth="1"/>
    <col min="4348" max="4348" width="6.5703125" style="17" customWidth="1"/>
    <col min="4349" max="4349" width="1.5703125" style="17" customWidth="1"/>
    <col min="4350" max="4350" width="10.5703125" style="17" customWidth="1"/>
    <col min="4351" max="4351" width="5.5703125" style="17" customWidth="1"/>
    <col min="4352" max="4352" width="1.5703125" style="17" customWidth="1"/>
    <col min="4353" max="4353" width="10.5703125" style="17" customWidth="1"/>
    <col min="4354" max="4354" width="6.5703125" style="17" customWidth="1"/>
    <col min="4355" max="4355" width="1.5703125" style="17" customWidth="1"/>
    <col min="4356" max="4356" width="10.5703125" style="17" customWidth="1"/>
    <col min="4357" max="4357" width="9.5703125" style="17" customWidth="1"/>
    <col min="4358" max="4358" width="13.42578125" style="17" bestFit="1" customWidth="1"/>
    <col min="4359" max="4359" width="7.5703125" style="17" customWidth="1"/>
    <col min="4360" max="4360" width="11.42578125" style="17"/>
    <col min="4361" max="4361" width="13.42578125" style="17" bestFit="1" customWidth="1"/>
    <col min="4362" max="4598" width="11.42578125" style="17"/>
    <col min="4599" max="4599" width="0.42578125" style="17" customWidth="1"/>
    <col min="4600" max="4600" width="2.5703125" style="17" customWidth="1"/>
    <col min="4601" max="4601" width="15.42578125" style="17" customWidth="1"/>
    <col min="4602" max="4602" width="1.42578125" style="17" customWidth="1"/>
    <col min="4603" max="4603" width="27.5703125" style="17" customWidth="1"/>
    <col min="4604" max="4604" width="6.5703125" style="17" customWidth="1"/>
    <col min="4605" max="4605" width="1.5703125" style="17" customWidth="1"/>
    <col min="4606" max="4606" width="10.5703125" style="17" customWidth="1"/>
    <col min="4607" max="4607" width="5.5703125" style="17" customWidth="1"/>
    <col min="4608" max="4608" width="1.5703125" style="17" customWidth="1"/>
    <col min="4609" max="4609" width="10.5703125" style="17" customWidth="1"/>
    <col min="4610" max="4610" width="6.5703125" style="17" customWidth="1"/>
    <col min="4611" max="4611" width="1.5703125" style="17" customWidth="1"/>
    <col min="4612" max="4612" width="10.5703125" style="17" customWidth="1"/>
    <col min="4613" max="4613" width="9.5703125" style="17" customWidth="1"/>
    <col min="4614" max="4614" width="13.42578125" style="17" bestFit="1" customWidth="1"/>
    <col min="4615" max="4615" width="7.5703125" style="17" customWidth="1"/>
    <col min="4616" max="4616" width="11.42578125" style="17"/>
    <col min="4617" max="4617" width="13.42578125" style="17" bestFit="1" customWidth="1"/>
    <col min="4618" max="4854" width="11.42578125" style="17"/>
    <col min="4855" max="4855" width="0.42578125" style="17" customWidth="1"/>
    <col min="4856" max="4856" width="2.5703125" style="17" customWidth="1"/>
    <col min="4857" max="4857" width="15.42578125" style="17" customWidth="1"/>
    <col min="4858" max="4858" width="1.42578125" style="17" customWidth="1"/>
    <col min="4859" max="4859" width="27.5703125" style="17" customWidth="1"/>
    <col min="4860" max="4860" width="6.5703125" style="17" customWidth="1"/>
    <col min="4861" max="4861" width="1.5703125" style="17" customWidth="1"/>
    <col min="4862" max="4862" width="10.5703125" style="17" customWidth="1"/>
    <col min="4863" max="4863" width="5.5703125" style="17" customWidth="1"/>
    <col min="4864" max="4864" width="1.5703125" style="17" customWidth="1"/>
    <col min="4865" max="4865" width="10.5703125" style="17" customWidth="1"/>
    <col min="4866" max="4866" width="6.5703125" style="17" customWidth="1"/>
    <col min="4867" max="4867" width="1.5703125" style="17" customWidth="1"/>
    <col min="4868" max="4868" width="10.5703125" style="17" customWidth="1"/>
    <col min="4869" max="4869" width="9.5703125" style="17" customWidth="1"/>
    <col min="4870" max="4870" width="13.42578125" style="17" bestFit="1" customWidth="1"/>
    <col min="4871" max="4871" width="7.5703125" style="17" customWidth="1"/>
    <col min="4872" max="4872" width="11.42578125" style="17"/>
    <col min="4873" max="4873" width="13.42578125" style="17" bestFit="1" customWidth="1"/>
    <col min="4874" max="5110" width="11.42578125" style="17"/>
    <col min="5111" max="5111" width="0.42578125" style="17" customWidth="1"/>
    <col min="5112" max="5112" width="2.5703125" style="17" customWidth="1"/>
    <col min="5113" max="5113" width="15.42578125" style="17" customWidth="1"/>
    <col min="5114" max="5114" width="1.42578125" style="17" customWidth="1"/>
    <col min="5115" max="5115" width="27.5703125" style="17" customWidth="1"/>
    <col min="5116" max="5116" width="6.5703125" style="17" customWidth="1"/>
    <col min="5117" max="5117" width="1.5703125" style="17" customWidth="1"/>
    <col min="5118" max="5118" width="10.5703125" style="17" customWidth="1"/>
    <col min="5119" max="5119" width="5.5703125" style="17" customWidth="1"/>
    <col min="5120" max="5120" width="1.5703125" style="17" customWidth="1"/>
    <col min="5121" max="5121" width="10.5703125" style="17" customWidth="1"/>
    <col min="5122" max="5122" width="6.5703125" style="17" customWidth="1"/>
    <col min="5123" max="5123" width="1.5703125" style="17" customWidth="1"/>
    <col min="5124" max="5124" width="10.5703125" style="17" customWidth="1"/>
    <col min="5125" max="5125" width="9.5703125" style="17" customWidth="1"/>
    <col min="5126" max="5126" width="13.42578125" style="17" bestFit="1" customWidth="1"/>
    <col min="5127" max="5127" width="7.5703125" style="17" customWidth="1"/>
    <col min="5128" max="5128" width="11.42578125" style="17"/>
    <col min="5129" max="5129" width="13.42578125" style="17" bestFit="1" customWidth="1"/>
    <col min="5130" max="5366" width="11.42578125" style="17"/>
    <col min="5367" max="5367" width="0.42578125" style="17" customWidth="1"/>
    <col min="5368" max="5368" width="2.5703125" style="17" customWidth="1"/>
    <col min="5369" max="5369" width="15.42578125" style="17" customWidth="1"/>
    <col min="5370" max="5370" width="1.42578125" style="17" customWidth="1"/>
    <col min="5371" max="5371" width="27.5703125" style="17" customWidth="1"/>
    <col min="5372" max="5372" width="6.5703125" style="17" customWidth="1"/>
    <col min="5373" max="5373" width="1.5703125" style="17" customWidth="1"/>
    <col min="5374" max="5374" width="10.5703125" style="17" customWidth="1"/>
    <col min="5375" max="5375" width="5.5703125" style="17" customWidth="1"/>
    <col min="5376" max="5376" width="1.5703125" style="17" customWidth="1"/>
    <col min="5377" max="5377" width="10.5703125" style="17" customWidth="1"/>
    <col min="5378" max="5378" width="6.5703125" style="17" customWidth="1"/>
    <col min="5379" max="5379" width="1.5703125" style="17" customWidth="1"/>
    <col min="5380" max="5380" width="10.5703125" style="17" customWidth="1"/>
    <col min="5381" max="5381" width="9.5703125" style="17" customWidth="1"/>
    <col min="5382" max="5382" width="13.42578125" style="17" bestFit="1" customWidth="1"/>
    <col min="5383" max="5383" width="7.5703125" style="17" customWidth="1"/>
    <col min="5384" max="5384" width="11.42578125" style="17"/>
    <col min="5385" max="5385" width="13.42578125" style="17" bestFit="1" customWidth="1"/>
    <col min="5386" max="5622" width="11.42578125" style="17"/>
    <col min="5623" max="5623" width="0.42578125" style="17" customWidth="1"/>
    <col min="5624" max="5624" width="2.5703125" style="17" customWidth="1"/>
    <col min="5625" max="5625" width="15.42578125" style="17" customWidth="1"/>
    <col min="5626" max="5626" width="1.42578125" style="17" customWidth="1"/>
    <col min="5627" max="5627" width="27.5703125" style="17" customWidth="1"/>
    <col min="5628" max="5628" width="6.5703125" style="17" customWidth="1"/>
    <col min="5629" max="5629" width="1.5703125" style="17" customWidth="1"/>
    <col min="5630" max="5630" width="10.5703125" style="17" customWidth="1"/>
    <col min="5631" max="5631" width="5.5703125" style="17" customWidth="1"/>
    <col min="5632" max="5632" width="1.5703125" style="17" customWidth="1"/>
    <col min="5633" max="5633" width="10.5703125" style="17" customWidth="1"/>
    <col min="5634" max="5634" width="6.5703125" style="17" customWidth="1"/>
    <col min="5635" max="5635" width="1.5703125" style="17" customWidth="1"/>
    <col min="5636" max="5636" width="10.5703125" style="17" customWidth="1"/>
    <col min="5637" max="5637" width="9.5703125" style="17" customWidth="1"/>
    <col min="5638" max="5638" width="13.42578125" style="17" bestFit="1" customWidth="1"/>
    <col min="5639" max="5639" width="7.5703125" style="17" customWidth="1"/>
    <col min="5640" max="5640" width="11.42578125" style="17"/>
    <col min="5641" max="5641" width="13.42578125" style="17" bestFit="1" customWidth="1"/>
    <col min="5642" max="5878" width="11.42578125" style="17"/>
    <col min="5879" max="5879" width="0.42578125" style="17" customWidth="1"/>
    <col min="5880" max="5880" width="2.5703125" style="17" customWidth="1"/>
    <col min="5881" max="5881" width="15.42578125" style="17" customWidth="1"/>
    <col min="5882" max="5882" width="1.42578125" style="17" customWidth="1"/>
    <col min="5883" max="5883" width="27.5703125" style="17" customWidth="1"/>
    <col min="5884" max="5884" width="6.5703125" style="17" customWidth="1"/>
    <col min="5885" max="5885" width="1.5703125" style="17" customWidth="1"/>
    <col min="5886" max="5886" width="10.5703125" style="17" customWidth="1"/>
    <col min="5887" max="5887" width="5.5703125" style="17" customWidth="1"/>
    <col min="5888" max="5888" width="1.5703125" style="17" customWidth="1"/>
    <col min="5889" max="5889" width="10.5703125" style="17" customWidth="1"/>
    <col min="5890" max="5890" width="6.5703125" style="17" customWidth="1"/>
    <col min="5891" max="5891" width="1.5703125" style="17" customWidth="1"/>
    <col min="5892" max="5892" width="10.5703125" style="17" customWidth="1"/>
    <col min="5893" max="5893" width="9.5703125" style="17" customWidth="1"/>
    <col min="5894" max="5894" width="13.42578125" style="17" bestFit="1" customWidth="1"/>
    <col min="5895" max="5895" width="7.5703125" style="17" customWidth="1"/>
    <col min="5896" max="5896" width="11.42578125" style="17"/>
    <col min="5897" max="5897" width="13.42578125" style="17" bestFit="1" customWidth="1"/>
    <col min="5898" max="6134" width="11.42578125" style="17"/>
    <col min="6135" max="6135" width="0.42578125" style="17" customWidth="1"/>
    <col min="6136" max="6136" width="2.5703125" style="17" customWidth="1"/>
    <col min="6137" max="6137" width="15.42578125" style="17" customWidth="1"/>
    <col min="6138" max="6138" width="1.42578125" style="17" customWidth="1"/>
    <col min="6139" max="6139" width="27.5703125" style="17" customWidth="1"/>
    <col min="6140" max="6140" width="6.5703125" style="17" customWidth="1"/>
    <col min="6141" max="6141" width="1.5703125" style="17" customWidth="1"/>
    <col min="6142" max="6142" width="10.5703125" style="17" customWidth="1"/>
    <col min="6143" max="6143" width="5.5703125" style="17" customWidth="1"/>
    <col min="6144" max="6144" width="1.5703125" style="17" customWidth="1"/>
    <col min="6145" max="6145" width="10.5703125" style="17" customWidth="1"/>
    <col min="6146" max="6146" width="6.5703125" style="17" customWidth="1"/>
    <col min="6147" max="6147" width="1.5703125" style="17" customWidth="1"/>
    <col min="6148" max="6148" width="10.5703125" style="17" customWidth="1"/>
    <col min="6149" max="6149" width="9.5703125" style="17" customWidth="1"/>
    <col min="6150" max="6150" width="13.42578125" style="17" bestFit="1" customWidth="1"/>
    <col min="6151" max="6151" width="7.5703125" style="17" customWidth="1"/>
    <col min="6152" max="6152" width="11.42578125" style="17"/>
    <col min="6153" max="6153" width="13.42578125" style="17" bestFit="1" customWidth="1"/>
    <col min="6154" max="6390" width="11.42578125" style="17"/>
    <col min="6391" max="6391" width="0.42578125" style="17" customWidth="1"/>
    <col min="6392" max="6392" width="2.5703125" style="17" customWidth="1"/>
    <col min="6393" max="6393" width="15.42578125" style="17" customWidth="1"/>
    <col min="6394" max="6394" width="1.42578125" style="17" customWidth="1"/>
    <col min="6395" max="6395" width="27.5703125" style="17" customWidth="1"/>
    <col min="6396" max="6396" width="6.5703125" style="17" customWidth="1"/>
    <col min="6397" max="6397" width="1.5703125" style="17" customWidth="1"/>
    <col min="6398" max="6398" width="10.5703125" style="17" customWidth="1"/>
    <col min="6399" max="6399" width="5.5703125" style="17" customWidth="1"/>
    <col min="6400" max="6400" width="1.5703125" style="17" customWidth="1"/>
    <col min="6401" max="6401" width="10.5703125" style="17" customWidth="1"/>
    <col min="6402" max="6402" width="6.5703125" style="17" customWidth="1"/>
    <col min="6403" max="6403" width="1.5703125" style="17" customWidth="1"/>
    <col min="6404" max="6404" width="10.5703125" style="17" customWidth="1"/>
    <col min="6405" max="6405" width="9.5703125" style="17" customWidth="1"/>
    <col min="6406" max="6406" width="13.42578125" style="17" bestFit="1" customWidth="1"/>
    <col min="6407" max="6407" width="7.5703125" style="17" customWidth="1"/>
    <col min="6408" max="6408" width="11.42578125" style="17"/>
    <col min="6409" max="6409" width="13.42578125" style="17" bestFit="1" customWidth="1"/>
    <col min="6410" max="6646" width="11.42578125" style="17"/>
    <col min="6647" max="6647" width="0.42578125" style="17" customWidth="1"/>
    <col min="6648" max="6648" width="2.5703125" style="17" customWidth="1"/>
    <col min="6649" max="6649" width="15.42578125" style="17" customWidth="1"/>
    <col min="6650" max="6650" width="1.42578125" style="17" customWidth="1"/>
    <col min="6651" max="6651" width="27.5703125" style="17" customWidth="1"/>
    <col min="6652" max="6652" width="6.5703125" style="17" customWidth="1"/>
    <col min="6653" max="6653" width="1.5703125" style="17" customWidth="1"/>
    <col min="6654" max="6654" width="10.5703125" style="17" customWidth="1"/>
    <col min="6655" max="6655" width="5.5703125" style="17" customWidth="1"/>
    <col min="6656" max="6656" width="1.5703125" style="17" customWidth="1"/>
    <col min="6657" max="6657" width="10.5703125" style="17" customWidth="1"/>
    <col min="6658" max="6658" width="6.5703125" style="17" customWidth="1"/>
    <col min="6659" max="6659" width="1.5703125" style="17" customWidth="1"/>
    <col min="6660" max="6660" width="10.5703125" style="17" customWidth="1"/>
    <col min="6661" max="6661" width="9.5703125" style="17" customWidth="1"/>
    <col min="6662" max="6662" width="13.42578125" style="17" bestFit="1" customWidth="1"/>
    <col min="6663" max="6663" width="7.5703125" style="17" customWidth="1"/>
    <col min="6664" max="6664" width="11.42578125" style="17"/>
    <col min="6665" max="6665" width="13.42578125" style="17" bestFit="1" customWidth="1"/>
    <col min="6666" max="6902" width="11.42578125" style="17"/>
    <col min="6903" max="6903" width="0.42578125" style="17" customWidth="1"/>
    <col min="6904" max="6904" width="2.5703125" style="17" customWidth="1"/>
    <col min="6905" max="6905" width="15.42578125" style="17" customWidth="1"/>
    <col min="6906" max="6906" width="1.42578125" style="17" customWidth="1"/>
    <col min="6907" max="6907" width="27.5703125" style="17" customWidth="1"/>
    <col min="6908" max="6908" width="6.5703125" style="17" customWidth="1"/>
    <col min="6909" max="6909" width="1.5703125" style="17" customWidth="1"/>
    <col min="6910" max="6910" width="10.5703125" style="17" customWidth="1"/>
    <col min="6911" max="6911" width="5.5703125" style="17" customWidth="1"/>
    <col min="6912" max="6912" width="1.5703125" style="17" customWidth="1"/>
    <col min="6913" max="6913" width="10.5703125" style="17" customWidth="1"/>
    <col min="6914" max="6914" width="6.5703125" style="17" customWidth="1"/>
    <col min="6915" max="6915" width="1.5703125" style="17" customWidth="1"/>
    <col min="6916" max="6916" width="10.5703125" style="17" customWidth="1"/>
    <col min="6917" max="6917" width="9.5703125" style="17" customWidth="1"/>
    <col min="6918" max="6918" width="13.42578125" style="17" bestFit="1" customWidth="1"/>
    <col min="6919" max="6919" width="7.5703125" style="17" customWidth="1"/>
    <col min="6920" max="6920" width="11.42578125" style="17"/>
    <col min="6921" max="6921" width="13.42578125" style="17" bestFit="1" customWidth="1"/>
    <col min="6922" max="7158" width="11.42578125" style="17"/>
    <col min="7159" max="7159" width="0.42578125" style="17" customWidth="1"/>
    <col min="7160" max="7160" width="2.5703125" style="17" customWidth="1"/>
    <col min="7161" max="7161" width="15.42578125" style="17" customWidth="1"/>
    <col min="7162" max="7162" width="1.42578125" style="17" customWidth="1"/>
    <col min="7163" max="7163" width="27.5703125" style="17" customWidth="1"/>
    <col min="7164" max="7164" width="6.5703125" style="17" customWidth="1"/>
    <col min="7165" max="7165" width="1.5703125" style="17" customWidth="1"/>
    <col min="7166" max="7166" width="10.5703125" style="17" customWidth="1"/>
    <col min="7167" max="7167" width="5.5703125" style="17" customWidth="1"/>
    <col min="7168" max="7168" width="1.5703125" style="17" customWidth="1"/>
    <col min="7169" max="7169" width="10.5703125" style="17" customWidth="1"/>
    <col min="7170" max="7170" width="6.5703125" style="17" customWidth="1"/>
    <col min="7171" max="7171" width="1.5703125" style="17" customWidth="1"/>
    <col min="7172" max="7172" width="10.5703125" style="17" customWidth="1"/>
    <col min="7173" max="7173" width="9.5703125" style="17" customWidth="1"/>
    <col min="7174" max="7174" width="13.42578125" style="17" bestFit="1" customWidth="1"/>
    <col min="7175" max="7175" width="7.5703125" style="17" customWidth="1"/>
    <col min="7176" max="7176" width="11.42578125" style="17"/>
    <col min="7177" max="7177" width="13.42578125" style="17" bestFit="1" customWidth="1"/>
    <col min="7178" max="7414" width="11.42578125" style="17"/>
    <col min="7415" max="7415" width="0.42578125" style="17" customWidth="1"/>
    <col min="7416" max="7416" width="2.5703125" style="17" customWidth="1"/>
    <col min="7417" max="7417" width="15.42578125" style="17" customWidth="1"/>
    <col min="7418" max="7418" width="1.42578125" style="17" customWidth="1"/>
    <col min="7419" max="7419" width="27.5703125" style="17" customWidth="1"/>
    <col min="7420" max="7420" width="6.5703125" style="17" customWidth="1"/>
    <col min="7421" max="7421" width="1.5703125" style="17" customWidth="1"/>
    <col min="7422" max="7422" width="10.5703125" style="17" customWidth="1"/>
    <col min="7423" max="7423" width="5.5703125" style="17" customWidth="1"/>
    <col min="7424" max="7424" width="1.5703125" style="17" customWidth="1"/>
    <col min="7425" max="7425" width="10.5703125" style="17" customWidth="1"/>
    <col min="7426" max="7426" width="6.5703125" style="17" customWidth="1"/>
    <col min="7427" max="7427" width="1.5703125" style="17" customWidth="1"/>
    <col min="7428" max="7428" width="10.5703125" style="17" customWidth="1"/>
    <col min="7429" max="7429" width="9.5703125" style="17" customWidth="1"/>
    <col min="7430" max="7430" width="13.42578125" style="17" bestFit="1" customWidth="1"/>
    <col min="7431" max="7431" width="7.5703125" style="17" customWidth="1"/>
    <col min="7432" max="7432" width="11.42578125" style="17"/>
    <col min="7433" max="7433" width="13.42578125" style="17" bestFit="1" customWidth="1"/>
    <col min="7434" max="7670" width="11.42578125" style="17"/>
    <col min="7671" max="7671" width="0.42578125" style="17" customWidth="1"/>
    <col min="7672" max="7672" width="2.5703125" style="17" customWidth="1"/>
    <col min="7673" max="7673" width="15.42578125" style="17" customWidth="1"/>
    <col min="7674" max="7674" width="1.42578125" style="17" customWidth="1"/>
    <col min="7675" max="7675" width="27.5703125" style="17" customWidth="1"/>
    <col min="7676" max="7676" width="6.5703125" style="17" customWidth="1"/>
    <col min="7677" max="7677" width="1.5703125" style="17" customWidth="1"/>
    <col min="7678" max="7678" width="10.5703125" style="17" customWidth="1"/>
    <col min="7679" max="7679" width="5.5703125" style="17" customWidth="1"/>
    <col min="7680" max="7680" width="1.5703125" style="17" customWidth="1"/>
    <col min="7681" max="7681" width="10.5703125" style="17" customWidth="1"/>
    <col min="7682" max="7682" width="6.5703125" style="17" customWidth="1"/>
    <col min="7683" max="7683" width="1.5703125" style="17" customWidth="1"/>
    <col min="7684" max="7684" width="10.5703125" style="17" customWidth="1"/>
    <col min="7685" max="7685" width="9.5703125" style="17" customWidth="1"/>
    <col min="7686" max="7686" width="13.42578125" style="17" bestFit="1" customWidth="1"/>
    <col min="7687" max="7687" width="7.5703125" style="17" customWidth="1"/>
    <col min="7688" max="7688" width="11.42578125" style="17"/>
    <col min="7689" max="7689" width="13.42578125" style="17" bestFit="1" customWidth="1"/>
    <col min="7690" max="7926" width="11.42578125" style="17"/>
    <col min="7927" max="7927" width="0.42578125" style="17" customWidth="1"/>
    <col min="7928" max="7928" width="2.5703125" style="17" customWidth="1"/>
    <col min="7929" max="7929" width="15.42578125" style="17" customWidth="1"/>
    <col min="7930" max="7930" width="1.42578125" style="17" customWidth="1"/>
    <col min="7931" max="7931" width="27.5703125" style="17" customWidth="1"/>
    <col min="7932" max="7932" width="6.5703125" style="17" customWidth="1"/>
    <col min="7933" max="7933" width="1.5703125" style="17" customWidth="1"/>
    <col min="7934" max="7934" width="10.5703125" style="17" customWidth="1"/>
    <col min="7935" max="7935" width="5.5703125" style="17" customWidth="1"/>
    <col min="7936" max="7936" width="1.5703125" style="17" customWidth="1"/>
    <col min="7937" max="7937" width="10.5703125" style="17" customWidth="1"/>
    <col min="7938" max="7938" width="6.5703125" style="17" customWidth="1"/>
    <col min="7939" max="7939" width="1.5703125" style="17" customWidth="1"/>
    <col min="7940" max="7940" width="10.5703125" style="17" customWidth="1"/>
    <col min="7941" max="7941" width="9.5703125" style="17" customWidth="1"/>
    <col min="7942" max="7942" width="13.42578125" style="17" bestFit="1" customWidth="1"/>
    <col min="7943" max="7943" width="7.5703125" style="17" customWidth="1"/>
    <col min="7944" max="7944" width="11.42578125" style="17"/>
    <col min="7945" max="7945" width="13.42578125" style="17" bestFit="1" customWidth="1"/>
    <col min="7946" max="8182" width="11.42578125" style="17"/>
    <col min="8183" max="8183" width="0.42578125" style="17" customWidth="1"/>
    <col min="8184" max="8184" width="2.5703125" style="17" customWidth="1"/>
    <col min="8185" max="8185" width="15.42578125" style="17" customWidth="1"/>
    <col min="8186" max="8186" width="1.42578125" style="17" customWidth="1"/>
    <col min="8187" max="8187" width="27.5703125" style="17" customWidth="1"/>
    <col min="8188" max="8188" width="6.5703125" style="17" customWidth="1"/>
    <col min="8189" max="8189" width="1.5703125" style="17" customWidth="1"/>
    <col min="8190" max="8190" width="10.5703125" style="17" customWidth="1"/>
    <col min="8191" max="8191" width="5.5703125" style="17" customWidth="1"/>
    <col min="8192" max="8192" width="1.5703125" style="17" customWidth="1"/>
    <col min="8193" max="8193" width="10.5703125" style="17" customWidth="1"/>
    <col min="8194" max="8194" width="6.5703125" style="17" customWidth="1"/>
    <col min="8195" max="8195" width="1.5703125" style="17" customWidth="1"/>
    <col min="8196" max="8196" width="10.5703125" style="17" customWidth="1"/>
    <col min="8197" max="8197" width="9.5703125" style="17" customWidth="1"/>
    <col min="8198" max="8198" width="13.42578125" style="17" bestFit="1" customWidth="1"/>
    <col min="8199" max="8199" width="7.5703125" style="17" customWidth="1"/>
    <col min="8200" max="8200" width="11.42578125" style="17"/>
    <col min="8201" max="8201" width="13.42578125" style="17" bestFit="1" customWidth="1"/>
    <col min="8202" max="8438" width="11.42578125" style="17"/>
    <col min="8439" max="8439" width="0.42578125" style="17" customWidth="1"/>
    <col min="8440" max="8440" width="2.5703125" style="17" customWidth="1"/>
    <col min="8441" max="8441" width="15.42578125" style="17" customWidth="1"/>
    <col min="8442" max="8442" width="1.42578125" style="17" customWidth="1"/>
    <col min="8443" max="8443" width="27.5703125" style="17" customWidth="1"/>
    <col min="8444" max="8444" width="6.5703125" style="17" customWidth="1"/>
    <col min="8445" max="8445" width="1.5703125" style="17" customWidth="1"/>
    <col min="8446" max="8446" width="10.5703125" style="17" customWidth="1"/>
    <col min="8447" max="8447" width="5.5703125" style="17" customWidth="1"/>
    <col min="8448" max="8448" width="1.5703125" style="17" customWidth="1"/>
    <col min="8449" max="8449" width="10.5703125" style="17" customWidth="1"/>
    <col min="8450" max="8450" width="6.5703125" style="17" customWidth="1"/>
    <col min="8451" max="8451" width="1.5703125" style="17" customWidth="1"/>
    <col min="8452" max="8452" width="10.5703125" style="17" customWidth="1"/>
    <col min="8453" max="8453" width="9.5703125" style="17" customWidth="1"/>
    <col min="8454" max="8454" width="13.42578125" style="17" bestFit="1" customWidth="1"/>
    <col min="8455" max="8455" width="7.5703125" style="17" customWidth="1"/>
    <col min="8456" max="8456" width="11.42578125" style="17"/>
    <col min="8457" max="8457" width="13.42578125" style="17" bestFit="1" customWidth="1"/>
    <col min="8458" max="8694" width="11.42578125" style="17"/>
    <col min="8695" max="8695" width="0.42578125" style="17" customWidth="1"/>
    <col min="8696" max="8696" width="2.5703125" style="17" customWidth="1"/>
    <col min="8697" max="8697" width="15.42578125" style="17" customWidth="1"/>
    <col min="8698" max="8698" width="1.42578125" style="17" customWidth="1"/>
    <col min="8699" max="8699" width="27.5703125" style="17" customWidth="1"/>
    <col min="8700" max="8700" width="6.5703125" style="17" customWidth="1"/>
    <col min="8701" max="8701" width="1.5703125" style="17" customWidth="1"/>
    <col min="8702" max="8702" width="10.5703125" style="17" customWidth="1"/>
    <col min="8703" max="8703" width="5.5703125" style="17" customWidth="1"/>
    <col min="8704" max="8704" width="1.5703125" style="17" customWidth="1"/>
    <col min="8705" max="8705" width="10.5703125" style="17" customWidth="1"/>
    <col min="8706" max="8706" width="6.5703125" style="17" customWidth="1"/>
    <col min="8707" max="8707" width="1.5703125" style="17" customWidth="1"/>
    <col min="8708" max="8708" width="10.5703125" style="17" customWidth="1"/>
    <col min="8709" max="8709" width="9.5703125" style="17" customWidth="1"/>
    <col min="8710" max="8710" width="13.42578125" style="17" bestFit="1" customWidth="1"/>
    <col min="8711" max="8711" width="7.5703125" style="17" customWidth="1"/>
    <col min="8712" max="8712" width="11.42578125" style="17"/>
    <col min="8713" max="8713" width="13.42578125" style="17" bestFit="1" customWidth="1"/>
    <col min="8714" max="8950" width="11.42578125" style="17"/>
    <col min="8951" max="8951" width="0.42578125" style="17" customWidth="1"/>
    <col min="8952" max="8952" width="2.5703125" style="17" customWidth="1"/>
    <col min="8953" max="8953" width="15.42578125" style="17" customWidth="1"/>
    <col min="8954" max="8954" width="1.42578125" style="17" customWidth="1"/>
    <col min="8955" max="8955" width="27.5703125" style="17" customWidth="1"/>
    <col min="8956" max="8956" width="6.5703125" style="17" customWidth="1"/>
    <col min="8957" max="8957" width="1.5703125" style="17" customWidth="1"/>
    <col min="8958" max="8958" width="10.5703125" style="17" customWidth="1"/>
    <col min="8959" max="8959" width="5.5703125" style="17" customWidth="1"/>
    <col min="8960" max="8960" width="1.5703125" style="17" customWidth="1"/>
    <col min="8961" max="8961" width="10.5703125" style="17" customWidth="1"/>
    <col min="8962" max="8962" width="6.5703125" style="17" customWidth="1"/>
    <col min="8963" max="8963" width="1.5703125" style="17" customWidth="1"/>
    <col min="8964" max="8964" width="10.5703125" style="17" customWidth="1"/>
    <col min="8965" max="8965" width="9.5703125" style="17" customWidth="1"/>
    <col min="8966" max="8966" width="13.42578125" style="17" bestFit="1" customWidth="1"/>
    <col min="8967" max="8967" width="7.5703125" style="17" customWidth="1"/>
    <col min="8968" max="8968" width="11.42578125" style="17"/>
    <col min="8969" max="8969" width="13.42578125" style="17" bestFit="1" customWidth="1"/>
    <col min="8970" max="9206" width="11.42578125" style="17"/>
    <col min="9207" max="9207" width="0.42578125" style="17" customWidth="1"/>
    <col min="9208" max="9208" width="2.5703125" style="17" customWidth="1"/>
    <col min="9209" max="9209" width="15.42578125" style="17" customWidth="1"/>
    <col min="9210" max="9210" width="1.42578125" style="17" customWidth="1"/>
    <col min="9211" max="9211" width="27.5703125" style="17" customWidth="1"/>
    <col min="9212" max="9212" width="6.5703125" style="17" customWidth="1"/>
    <col min="9213" max="9213" width="1.5703125" style="17" customWidth="1"/>
    <col min="9214" max="9214" width="10.5703125" style="17" customWidth="1"/>
    <col min="9215" max="9215" width="5.5703125" style="17" customWidth="1"/>
    <col min="9216" max="9216" width="1.5703125" style="17" customWidth="1"/>
    <col min="9217" max="9217" width="10.5703125" style="17" customWidth="1"/>
    <col min="9218" max="9218" width="6.5703125" style="17" customWidth="1"/>
    <col min="9219" max="9219" width="1.5703125" style="17" customWidth="1"/>
    <col min="9220" max="9220" width="10.5703125" style="17" customWidth="1"/>
    <col min="9221" max="9221" width="9.5703125" style="17" customWidth="1"/>
    <col min="9222" max="9222" width="13.42578125" style="17" bestFit="1" customWidth="1"/>
    <col min="9223" max="9223" width="7.5703125" style="17" customWidth="1"/>
    <col min="9224" max="9224" width="11.42578125" style="17"/>
    <col min="9225" max="9225" width="13.42578125" style="17" bestFit="1" customWidth="1"/>
    <col min="9226" max="9462" width="11.42578125" style="17"/>
    <col min="9463" max="9463" width="0.42578125" style="17" customWidth="1"/>
    <col min="9464" max="9464" width="2.5703125" style="17" customWidth="1"/>
    <col min="9465" max="9465" width="15.42578125" style="17" customWidth="1"/>
    <col min="9466" max="9466" width="1.42578125" style="17" customWidth="1"/>
    <col min="9467" max="9467" width="27.5703125" style="17" customWidth="1"/>
    <col min="9468" max="9468" width="6.5703125" style="17" customWidth="1"/>
    <col min="9469" max="9469" width="1.5703125" style="17" customWidth="1"/>
    <col min="9470" max="9470" width="10.5703125" style="17" customWidth="1"/>
    <col min="9471" max="9471" width="5.5703125" style="17" customWidth="1"/>
    <col min="9472" max="9472" width="1.5703125" style="17" customWidth="1"/>
    <col min="9473" max="9473" width="10.5703125" style="17" customWidth="1"/>
    <col min="9474" max="9474" width="6.5703125" style="17" customWidth="1"/>
    <col min="9475" max="9475" width="1.5703125" style="17" customWidth="1"/>
    <col min="9476" max="9476" width="10.5703125" style="17" customWidth="1"/>
    <col min="9477" max="9477" width="9.5703125" style="17" customWidth="1"/>
    <col min="9478" max="9478" width="13.42578125" style="17" bestFit="1" customWidth="1"/>
    <col min="9479" max="9479" width="7.5703125" style="17" customWidth="1"/>
    <col min="9480" max="9480" width="11.42578125" style="17"/>
    <col min="9481" max="9481" width="13.42578125" style="17" bestFit="1" customWidth="1"/>
    <col min="9482" max="9718" width="11.42578125" style="17"/>
    <col min="9719" max="9719" width="0.42578125" style="17" customWidth="1"/>
    <col min="9720" max="9720" width="2.5703125" style="17" customWidth="1"/>
    <col min="9721" max="9721" width="15.42578125" style="17" customWidth="1"/>
    <col min="9722" max="9722" width="1.42578125" style="17" customWidth="1"/>
    <col min="9723" max="9723" width="27.5703125" style="17" customWidth="1"/>
    <col min="9724" max="9724" width="6.5703125" style="17" customWidth="1"/>
    <col min="9725" max="9725" width="1.5703125" style="17" customWidth="1"/>
    <col min="9726" max="9726" width="10.5703125" style="17" customWidth="1"/>
    <col min="9727" max="9727" width="5.5703125" style="17" customWidth="1"/>
    <col min="9728" max="9728" width="1.5703125" style="17" customWidth="1"/>
    <col min="9729" max="9729" width="10.5703125" style="17" customWidth="1"/>
    <col min="9730" max="9730" width="6.5703125" style="17" customWidth="1"/>
    <col min="9731" max="9731" width="1.5703125" style="17" customWidth="1"/>
    <col min="9732" max="9732" width="10.5703125" style="17" customWidth="1"/>
    <col min="9733" max="9733" width="9.5703125" style="17" customWidth="1"/>
    <col min="9734" max="9734" width="13.42578125" style="17" bestFit="1" customWidth="1"/>
    <col min="9735" max="9735" width="7.5703125" style="17" customWidth="1"/>
    <col min="9736" max="9736" width="11.42578125" style="17"/>
    <col min="9737" max="9737" width="13.42578125" style="17" bestFit="1" customWidth="1"/>
    <col min="9738" max="9974" width="11.42578125" style="17"/>
    <col min="9975" max="9975" width="0.42578125" style="17" customWidth="1"/>
    <col min="9976" max="9976" width="2.5703125" style="17" customWidth="1"/>
    <col min="9977" max="9977" width="15.42578125" style="17" customWidth="1"/>
    <col min="9978" max="9978" width="1.42578125" style="17" customWidth="1"/>
    <col min="9979" max="9979" width="27.5703125" style="17" customWidth="1"/>
    <col min="9980" max="9980" width="6.5703125" style="17" customWidth="1"/>
    <col min="9981" max="9981" width="1.5703125" style="17" customWidth="1"/>
    <col min="9982" max="9982" width="10.5703125" style="17" customWidth="1"/>
    <col min="9983" max="9983" width="5.5703125" style="17" customWidth="1"/>
    <col min="9984" max="9984" width="1.5703125" style="17" customWidth="1"/>
    <col min="9985" max="9985" width="10.5703125" style="17" customWidth="1"/>
    <col min="9986" max="9986" width="6.5703125" style="17" customWidth="1"/>
    <col min="9987" max="9987" width="1.5703125" style="17" customWidth="1"/>
    <col min="9988" max="9988" width="10.5703125" style="17" customWidth="1"/>
    <col min="9989" max="9989" width="9.5703125" style="17" customWidth="1"/>
    <col min="9990" max="9990" width="13.42578125" style="17" bestFit="1" customWidth="1"/>
    <col min="9991" max="9991" width="7.5703125" style="17" customWidth="1"/>
    <col min="9992" max="9992" width="11.42578125" style="17"/>
    <col min="9993" max="9993" width="13.42578125" style="17" bestFit="1" customWidth="1"/>
    <col min="9994" max="10230" width="11.42578125" style="17"/>
    <col min="10231" max="10231" width="0.42578125" style="17" customWidth="1"/>
    <col min="10232" max="10232" width="2.5703125" style="17" customWidth="1"/>
    <col min="10233" max="10233" width="15.42578125" style="17" customWidth="1"/>
    <col min="10234" max="10234" width="1.42578125" style="17" customWidth="1"/>
    <col min="10235" max="10235" width="27.5703125" style="17" customWidth="1"/>
    <col min="10236" max="10236" width="6.5703125" style="17" customWidth="1"/>
    <col min="10237" max="10237" width="1.5703125" style="17" customWidth="1"/>
    <col min="10238" max="10238" width="10.5703125" style="17" customWidth="1"/>
    <col min="10239" max="10239" width="5.5703125" style="17" customWidth="1"/>
    <col min="10240" max="10240" width="1.5703125" style="17" customWidth="1"/>
    <col min="10241" max="10241" width="10.5703125" style="17" customWidth="1"/>
    <col min="10242" max="10242" width="6.5703125" style="17" customWidth="1"/>
    <col min="10243" max="10243" width="1.5703125" style="17" customWidth="1"/>
    <col min="10244" max="10244" width="10.5703125" style="17" customWidth="1"/>
    <col min="10245" max="10245" width="9.5703125" style="17" customWidth="1"/>
    <col min="10246" max="10246" width="13.42578125" style="17" bestFit="1" customWidth="1"/>
    <col min="10247" max="10247" width="7.5703125" style="17" customWidth="1"/>
    <col min="10248" max="10248" width="11.42578125" style="17"/>
    <col min="10249" max="10249" width="13.42578125" style="17" bestFit="1" customWidth="1"/>
    <col min="10250" max="10486" width="11.42578125" style="17"/>
    <col min="10487" max="10487" width="0.42578125" style="17" customWidth="1"/>
    <col min="10488" max="10488" width="2.5703125" style="17" customWidth="1"/>
    <col min="10489" max="10489" width="15.42578125" style="17" customWidth="1"/>
    <col min="10490" max="10490" width="1.42578125" style="17" customWidth="1"/>
    <col min="10491" max="10491" width="27.5703125" style="17" customWidth="1"/>
    <col min="10492" max="10492" width="6.5703125" style="17" customWidth="1"/>
    <col min="10493" max="10493" width="1.5703125" style="17" customWidth="1"/>
    <col min="10494" max="10494" width="10.5703125" style="17" customWidth="1"/>
    <col min="10495" max="10495" width="5.5703125" style="17" customWidth="1"/>
    <col min="10496" max="10496" width="1.5703125" style="17" customWidth="1"/>
    <col min="10497" max="10497" width="10.5703125" style="17" customWidth="1"/>
    <col min="10498" max="10498" width="6.5703125" style="17" customWidth="1"/>
    <col min="10499" max="10499" width="1.5703125" style="17" customWidth="1"/>
    <col min="10500" max="10500" width="10.5703125" style="17" customWidth="1"/>
    <col min="10501" max="10501" width="9.5703125" style="17" customWidth="1"/>
    <col min="10502" max="10502" width="13.42578125" style="17" bestFit="1" customWidth="1"/>
    <col min="10503" max="10503" width="7.5703125" style="17" customWidth="1"/>
    <col min="10504" max="10504" width="11.42578125" style="17"/>
    <col min="10505" max="10505" width="13.42578125" style="17" bestFit="1" customWidth="1"/>
    <col min="10506" max="10742" width="11.42578125" style="17"/>
    <col min="10743" max="10743" width="0.42578125" style="17" customWidth="1"/>
    <col min="10744" max="10744" width="2.5703125" style="17" customWidth="1"/>
    <col min="10745" max="10745" width="15.42578125" style="17" customWidth="1"/>
    <col min="10746" max="10746" width="1.42578125" style="17" customWidth="1"/>
    <col min="10747" max="10747" width="27.5703125" style="17" customWidth="1"/>
    <col min="10748" max="10748" width="6.5703125" style="17" customWidth="1"/>
    <col min="10749" max="10749" width="1.5703125" style="17" customWidth="1"/>
    <col min="10750" max="10750" width="10.5703125" style="17" customWidth="1"/>
    <col min="10751" max="10751" width="5.5703125" style="17" customWidth="1"/>
    <col min="10752" max="10752" width="1.5703125" style="17" customWidth="1"/>
    <col min="10753" max="10753" width="10.5703125" style="17" customWidth="1"/>
    <col min="10754" max="10754" width="6.5703125" style="17" customWidth="1"/>
    <col min="10755" max="10755" width="1.5703125" style="17" customWidth="1"/>
    <col min="10756" max="10756" width="10.5703125" style="17" customWidth="1"/>
    <col min="10757" max="10757" width="9.5703125" style="17" customWidth="1"/>
    <col min="10758" max="10758" width="13.42578125" style="17" bestFit="1" customWidth="1"/>
    <col min="10759" max="10759" width="7.5703125" style="17" customWidth="1"/>
    <col min="10760" max="10760" width="11.42578125" style="17"/>
    <col min="10761" max="10761" width="13.42578125" style="17" bestFit="1" customWidth="1"/>
    <col min="10762" max="10998" width="11.42578125" style="17"/>
    <col min="10999" max="10999" width="0.42578125" style="17" customWidth="1"/>
    <col min="11000" max="11000" width="2.5703125" style="17" customWidth="1"/>
    <col min="11001" max="11001" width="15.42578125" style="17" customWidth="1"/>
    <col min="11002" max="11002" width="1.42578125" style="17" customWidth="1"/>
    <col min="11003" max="11003" width="27.5703125" style="17" customWidth="1"/>
    <col min="11004" max="11004" width="6.5703125" style="17" customWidth="1"/>
    <col min="11005" max="11005" width="1.5703125" style="17" customWidth="1"/>
    <col min="11006" max="11006" width="10.5703125" style="17" customWidth="1"/>
    <col min="11007" max="11007" width="5.5703125" style="17" customWidth="1"/>
    <col min="11008" max="11008" width="1.5703125" style="17" customWidth="1"/>
    <col min="11009" max="11009" width="10.5703125" style="17" customWidth="1"/>
    <col min="11010" max="11010" width="6.5703125" style="17" customWidth="1"/>
    <col min="11011" max="11011" width="1.5703125" style="17" customWidth="1"/>
    <col min="11012" max="11012" width="10.5703125" style="17" customWidth="1"/>
    <col min="11013" max="11013" width="9.5703125" style="17" customWidth="1"/>
    <col min="11014" max="11014" width="13.42578125" style="17" bestFit="1" customWidth="1"/>
    <col min="11015" max="11015" width="7.5703125" style="17" customWidth="1"/>
    <col min="11016" max="11016" width="11.42578125" style="17"/>
    <col min="11017" max="11017" width="13.42578125" style="17" bestFit="1" customWidth="1"/>
    <col min="11018" max="11254" width="11.42578125" style="17"/>
    <col min="11255" max="11255" width="0.42578125" style="17" customWidth="1"/>
    <col min="11256" max="11256" width="2.5703125" style="17" customWidth="1"/>
    <col min="11257" max="11257" width="15.42578125" style="17" customWidth="1"/>
    <col min="11258" max="11258" width="1.42578125" style="17" customWidth="1"/>
    <col min="11259" max="11259" width="27.5703125" style="17" customWidth="1"/>
    <col min="11260" max="11260" width="6.5703125" style="17" customWidth="1"/>
    <col min="11261" max="11261" width="1.5703125" style="17" customWidth="1"/>
    <col min="11262" max="11262" width="10.5703125" style="17" customWidth="1"/>
    <col min="11263" max="11263" width="5.5703125" style="17" customWidth="1"/>
    <col min="11264" max="11264" width="1.5703125" style="17" customWidth="1"/>
    <col min="11265" max="11265" width="10.5703125" style="17" customWidth="1"/>
    <col min="11266" max="11266" width="6.5703125" style="17" customWidth="1"/>
    <col min="11267" max="11267" width="1.5703125" style="17" customWidth="1"/>
    <col min="11268" max="11268" width="10.5703125" style="17" customWidth="1"/>
    <col min="11269" max="11269" width="9.5703125" style="17" customWidth="1"/>
    <col min="11270" max="11270" width="13.42578125" style="17" bestFit="1" customWidth="1"/>
    <col min="11271" max="11271" width="7.5703125" style="17" customWidth="1"/>
    <col min="11272" max="11272" width="11.42578125" style="17"/>
    <col min="11273" max="11273" width="13.42578125" style="17" bestFit="1" customWidth="1"/>
    <col min="11274" max="11510" width="11.42578125" style="17"/>
    <col min="11511" max="11511" width="0.42578125" style="17" customWidth="1"/>
    <col min="11512" max="11512" width="2.5703125" style="17" customWidth="1"/>
    <col min="11513" max="11513" width="15.42578125" style="17" customWidth="1"/>
    <col min="11514" max="11514" width="1.42578125" style="17" customWidth="1"/>
    <col min="11515" max="11515" width="27.5703125" style="17" customWidth="1"/>
    <col min="11516" max="11516" width="6.5703125" style="17" customWidth="1"/>
    <col min="11517" max="11517" width="1.5703125" style="17" customWidth="1"/>
    <col min="11518" max="11518" width="10.5703125" style="17" customWidth="1"/>
    <col min="11519" max="11519" width="5.5703125" style="17" customWidth="1"/>
    <col min="11520" max="11520" width="1.5703125" style="17" customWidth="1"/>
    <col min="11521" max="11521" width="10.5703125" style="17" customWidth="1"/>
    <col min="11522" max="11522" width="6.5703125" style="17" customWidth="1"/>
    <col min="11523" max="11523" width="1.5703125" style="17" customWidth="1"/>
    <col min="11524" max="11524" width="10.5703125" style="17" customWidth="1"/>
    <col min="11525" max="11525" width="9.5703125" style="17" customWidth="1"/>
    <col min="11526" max="11526" width="13.42578125" style="17" bestFit="1" customWidth="1"/>
    <col min="11527" max="11527" width="7.5703125" style="17" customWidth="1"/>
    <col min="11528" max="11528" width="11.42578125" style="17"/>
    <col min="11529" max="11529" width="13.42578125" style="17" bestFit="1" customWidth="1"/>
    <col min="11530" max="11766" width="11.42578125" style="17"/>
    <col min="11767" max="11767" width="0.42578125" style="17" customWidth="1"/>
    <col min="11768" max="11768" width="2.5703125" style="17" customWidth="1"/>
    <col min="11769" max="11769" width="15.42578125" style="17" customWidth="1"/>
    <col min="11770" max="11770" width="1.42578125" style="17" customWidth="1"/>
    <col min="11771" max="11771" width="27.5703125" style="17" customWidth="1"/>
    <col min="11772" max="11772" width="6.5703125" style="17" customWidth="1"/>
    <col min="11773" max="11773" width="1.5703125" style="17" customWidth="1"/>
    <col min="11774" max="11774" width="10.5703125" style="17" customWidth="1"/>
    <col min="11775" max="11775" width="5.5703125" style="17" customWidth="1"/>
    <col min="11776" max="11776" width="1.5703125" style="17" customWidth="1"/>
    <col min="11777" max="11777" width="10.5703125" style="17" customWidth="1"/>
    <col min="11778" max="11778" width="6.5703125" style="17" customWidth="1"/>
    <col min="11779" max="11779" width="1.5703125" style="17" customWidth="1"/>
    <col min="11780" max="11780" width="10.5703125" style="17" customWidth="1"/>
    <col min="11781" max="11781" width="9.5703125" style="17" customWidth="1"/>
    <col min="11782" max="11782" width="13.42578125" style="17" bestFit="1" customWidth="1"/>
    <col min="11783" max="11783" width="7.5703125" style="17" customWidth="1"/>
    <col min="11784" max="11784" width="11.42578125" style="17"/>
    <col min="11785" max="11785" width="13.42578125" style="17" bestFit="1" customWidth="1"/>
    <col min="11786" max="12022" width="11.42578125" style="17"/>
    <col min="12023" max="12023" width="0.42578125" style="17" customWidth="1"/>
    <col min="12024" max="12024" width="2.5703125" style="17" customWidth="1"/>
    <col min="12025" max="12025" width="15.42578125" style="17" customWidth="1"/>
    <col min="12026" max="12026" width="1.42578125" style="17" customWidth="1"/>
    <col min="12027" max="12027" width="27.5703125" style="17" customWidth="1"/>
    <col min="12028" max="12028" width="6.5703125" style="17" customWidth="1"/>
    <col min="12029" max="12029" width="1.5703125" style="17" customWidth="1"/>
    <col min="12030" max="12030" width="10.5703125" style="17" customWidth="1"/>
    <col min="12031" max="12031" width="5.5703125" style="17" customWidth="1"/>
    <col min="12032" max="12032" width="1.5703125" style="17" customWidth="1"/>
    <col min="12033" max="12033" width="10.5703125" style="17" customWidth="1"/>
    <col min="12034" max="12034" width="6.5703125" style="17" customWidth="1"/>
    <col min="12035" max="12035" width="1.5703125" style="17" customWidth="1"/>
    <col min="12036" max="12036" width="10.5703125" style="17" customWidth="1"/>
    <col min="12037" max="12037" width="9.5703125" style="17" customWidth="1"/>
    <col min="12038" max="12038" width="13.42578125" style="17" bestFit="1" customWidth="1"/>
    <col min="12039" max="12039" width="7.5703125" style="17" customWidth="1"/>
    <col min="12040" max="12040" width="11.42578125" style="17"/>
    <col min="12041" max="12041" width="13.42578125" style="17" bestFit="1" customWidth="1"/>
    <col min="12042" max="12278" width="11.42578125" style="17"/>
    <col min="12279" max="12279" width="0.42578125" style="17" customWidth="1"/>
    <col min="12280" max="12280" width="2.5703125" style="17" customWidth="1"/>
    <col min="12281" max="12281" width="15.42578125" style="17" customWidth="1"/>
    <col min="12282" max="12282" width="1.42578125" style="17" customWidth="1"/>
    <col min="12283" max="12283" width="27.5703125" style="17" customWidth="1"/>
    <col min="12284" max="12284" width="6.5703125" style="17" customWidth="1"/>
    <col min="12285" max="12285" width="1.5703125" style="17" customWidth="1"/>
    <col min="12286" max="12286" width="10.5703125" style="17" customWidth="1"/>
    <col min="12287" max="12287" width="5.5703125" style="17" customWidth="1"/>
    <col min="12288" max="12288" width="1.5703125" style="17" customWidth="1"/>
    <col min="12289" max="12289" width="10.5703125" style="17" customWidth="1"/>
    <col min="12290" max="12290" width="6.5703125" style="17" customWidth="1"/>
    <col min="12291" max="12291" width="1.5703125" style="17" customWidth="1"/>
    <col min="12292" max="12292" width="10.5703125" style="17" customWidth="1"/>
    <col min="12293" max="12293" width="9.5703125" style="17" customWidth="1"/>
    <col min="12294" max="12294" width="13.42578125" style="17" bestFit="1" customWidth="1"/>
    <col min="12295" max="12295" width="7.5703125" style="17" customWidth="1"/>
    <col min="12296" max="12296" width="11.42578125" style="17"/>
    <col min="12297" max="12297" width="13.42578125" style="17" bestFit="1" customWidth="1"/>
    <col min="12298" max="12534" width="11.42578125" style="17"/>
    <col min="12535" max="12535" width="0.42578125" style="17" customWidth="1"/>
    <col min="12536" max="12536" width="2.5703125" style="17" customWidth="1"/>
    <col min="12537" max="12537" width="15.42578125" style="17" customWidth="1"/>
    <col min="12538" max="12538" width="1.42578125" style="17" customWidth="1"/>
    <col min="12539" max="12539" width="27.5703125" style="17" customWidth="1"/>
    <col min="12540" max="12540" width="6.5703125" style="17" customWidth="1"/>
    <col min="12541" max="12541" width="1.5703125" style="17" customWidth="1"/>
    <col min="12542" max="12542" width="10.5703125" style="17" customWidth="1"/>
    <col min="12543" max="12543" width="5.5703125" style="17" customWidth="1"/>
    <col min="12544" max="12544" width="1.5703125" style="17" customWidth="1"/>
    <col min="12545" max="12545" width="10.5703125" style="17" customWidth="1"/>
    <col min="12546" max="12546" width="6.5703125" style="17" customWidth="1"/>
    <col min="12547" max="12547" width="1.5703125" style="17" customWidth="1"/>
    <col min="12548" max="12548" width="10.5703125" style="17" customWidth="1"/>
    <col min="12549" max="12549" width="9.5703125" style="17" customWidth="1"/>
    <col min="12550" max="12550" width="13.42578125" style="17" bestFit="1" customWidth="1"/>
    <col min="12551" max="12551" width="7.5703125" style="17" customWidth="1"/>
    <col min="12552" max="12552" width="11.42578125" style="17"/>
    <col min="12553" max="12553" width="13.42578125" style="17" bestFit="1" customWidth="1"/>
    <col min="12554" max="12790" width="11.42578125" style="17"/>
    <col min="12791" max="12791" width="0.42578125" style="17" customWidth="1"/>
    <col min="12792" max="12792" width="2.5703125" style="17" customWidth="1"/>
    <col min="12793" max="12793" width="15.42578125" style="17" customWidth="1"/>
    <col min="12794" max="12794" width="1.42578125" style="17" customWidth="1"/>
    <col min="12795" max="12795" width="27.5703125" style="17" customWidth="1"/>
    <col min="12796" max="12796" width="6.5703125" style="17" customWidth="1"/>
    <col min="12797" max="12797" width="1.5703125" style="17" customWidth="1"/>
    <col min="12798" max="12798" width="10.5703125" style="17" customWidth="1"/>
    <col min="12799" max="12799" width="5.5703125" style="17" customWidth="1"/>
    <col min="12800" max="12800" width="1.5703125" style="17" customWidth="1"/>
    <col min="12801" max="12801" width="10.5703125" style="17" customWidth="1"/>
    <col min="12802" max="12802" width="6.5703125" style="17" customWidth="1"/>
    <col min="12803" max="12803" width="1.5703125" style="17" customWidth="1"/>
    <col min="12804" max="12804" width="10.5703125" style="17" customWidth="1"/>
    <col min="12805" max="12805" width="9.5703125" style="17" customWidth="1"/>
    <col min="12806" max="12806" width="13.42578125" style="17" bestFit="1" customWidth="1"/>
    <col min="12807" max="12807" width="7.5703125" style="17" customWidth="1"/>
    <col min="12808" max="12808" width="11.42578125" style="17"/>
    <col min="12809" max="12809" width="13.42578125" style="17" bestFit="1" customWidth="1"/>
    <col min="12810" max="13046" width="11.42578125" style="17"/>
    <col min="13047" max="13047" width="0.42578125" style="17" customWidth="1"/>
    <col min="13048" max="13048" width="2.5703125" style="17" customWidth="1"/>
    <col min="13049" max="13049" width="15.42578125" style="17" customWidth="1"/>
    <col min="13050" max="13050" width="1.42578125" style="17" customWidth="1"/>
    <col min="13051" max="13051" width="27.5703125" style="17" customWidth="1"/>
    <col min="13052" max="13052" width="6.5703125" style="17" customWidth="1"/>
    <col min="13053" max="13053" width="1.5703125" style="17" customWidth="1"/>
    <col min="13054" max="13054" width="10.5703125" style="17" customWidth="1"/>
    <col min="13055" max="13055" width="5.5703125" style="17" customWidth="1"/>
    <col min="13056" max="13056" width="1.5703125" style="17" customWidth="1"/>
    <col min="13057" max="13057" width="10.5703125" style="17" customWidth="1"/>
    <col min="13058" max="13058" width="6.5703125" style="17" customWidth="1"/>
    <col min="13059" max="13059" width="1.5703125" style="17" customWidth="1"/>
    <col min="13060" max="13060" width="10.5703125" style="17" customWidth="1"/>
    <col min="13061" max="13061" width="9.5703125" style="17" customWidth="1"/>
    <col min="13062" max="13062" width="13.42578125" style="17" bestFit="1" customWidth="1"/>
    <col min="13063" max="13063" width="7.5703125" style="17" customWidth="1"/>
    <col min="13064" max="13064" width="11.42578125" style="17"/>
    <col min="13065" max="13065" width="13.42578125" style="17" bestFit="1" customWidth="1"/>
    <col min="13066" max="13302" width="11.42578125" style="17"/>
    <col min="13303" max="13303" width="0.42578125" style="17" customWidth="1"/>
    <col min="13304" max="13304" width="2.5703125" style="17" customWidth="1"/>
    <col min="13305" max="13305" width="15.42578125" style="17" customWidth="1"/>
    <col min="13306" max="13306" width="1.42578125" style="17" customWidth="1"/>
    <col min="13307" max="13307" width="27.5703125" style="17" customWidth="1"/>
    <col min="13308" max="13308" width="6.5703125" style="17" customWidth="1"/>
    <col min="13309" max="13309" width="1.5703125" style="17" customWidth="1"/>
    <col min="13310" max="13310" width="10.5703125" style="17" customWidth="1"/>
    <col min="13311" max="13311" width="5.5703125" style="17" customWidth="1"/>
    <col min="13312" max="13312" width="1.5703125" style="17" customWidth="1"/>
    <col min="13313" max="13313" width="10.5703125" style="17" customWidth="1"/>
    <col min="13314" max="13314" width="6.5703125" style="17" customWidth="1"/>
    <col min="13315" max="13315" width="1.5703125" style="17" customWidth="1"/>
    <col min="13316" max="13316" width="10.5703125" style="17" customWidth="1"/>
    <col min="13317" max="13317" width="9.5703125" style="17" customWidth="1"/>
    <col min="13318" max="13318" width="13.42578125" style="17" bestFit="1" customWidth="1"/>
    <col min="13319" max="13319" width="7.5703125" style="17" customWidth="1"/>
    <col min="13320" max="13320" width="11.42578125" style="17"/>
    <col min="13321" max="13321" width="13.42578125" style="17" bestFit="1" customWidth="1"/>
    <col min="13322" max="13558" width="11.42578125" style="17"/>
    <col min="13559" max="13559" width="0.42578125" style="17" customWidth="1"/>
    <col min="13560" max="13560" width="2.5703125" style="17" customWidth="1"/>
    <col min="13561" max="13561" width="15.42578125" style="17" customWidth="1"/>
    <col min="13562" max="13562" width="1.42578125" style="17" customWidth="1"/>
    <col min="13563" max="13563" width="27.5703125" style="17" customWidth="1"/>
    <col min="13564" max="13564" width="6.5703125" style="17" customWidth="1"/>
    <col min="13565" max="13565" width="1.5703125" style="17" customWidth="1"/>
    <col min="13566" max="13566" width="10.5703125" style="17" customWidth="1"/>
    <col min="13567" max="13567" width="5.5703125" style="17" customWidth="1"/>
    <col min="13568" max="13568" width="1.5703125" style="17" customWidth="1"/>
    <col min="13569" max="13569" width="10.5703125" style="17" customWidth="1"/>
    <col min="13570" max="13570" width="6.5703125" style="17" customWidth="1"/>
    <col min="13571" max="13571" width="1.5703125" style="17" customWidth="1"/>
    <col min="13572" max="13572" width="10.5703125" style="17" customWidth="1"/>
    <col min="13573" max="13573" width="9.5703125" style="17" customWidth="1"/>
    <col min="13574" max="13574" width="13.42578125" style="17" bestFit="1" customWidth="1"/>
    <col min="13575" max="13575" width="7.5703125" style="17" customWidth="1"/>
    <col min="13576" max="13576" width="11.42578125" style="17"/>
    <col min="13577" max="13577" width="13.42578125" style="17" bestFit="1" customWidth="1"/>
    <col min="13578" max="13814" width="11.42578125" style="17"/>
    <col min="13815" max="13815" width="0.42578125" style="17" customWidth="1"/>
    <col min="13816" max="13816" width="2.5703125" style="17" customWidth="1"/>
    <col min="13817" max="13817" width="15.42578125" style="17" customWidth="1"/>
    <col min="13818" max="13818" width="1.42578125" style="17" customWidth="1"/>
    <col min="13819" max="13819" width="27.5703125" style="17" customWidth="1"/>
    <col min="13820" max="13820" width="6.5703125" style="17" customWidth="1"/>
    <col min="13821" max="13821" width="1.5703125" style="17" customWidth="1"/>
    <col min="13822" max="13822" width="10.5703125" style="17" customWidth="1"/>
    <col min="13823" max="13823" width="5.5703125" style="17" customWidth="1"/>
    <col min="13824" max="13824" width="1.5703125" style="17" customWidth="1"/>
    <col min="13825" max="13825" width="10.5703125" style="17" customWidth="1"/>
    <col min="13826" max="13826" width="6.5703125" style="17" customWidth="1"/>
    <col min="13827" max="13827" width="1.5703125" style="17" customWidth="1"/>
    <col min="13828" max="13828" width="10.5703125" style="17" customWidth="1"/>
    <col min="13829" max="13829" width="9.5703125" style="17" customWidth="1"/>
    <col min="13830" max="13830" width="13.42578125" style="17" bestFit="1" customWidth="1"/>
    <col min="13831" max="13831" width="7.5703125" style="17" customWidth="1"/>
    <col min="13832" max="13832" width="11.42578125" style="17"/>
    <col min="13833" max="13833" width="13.42578125" style="17" bestFit="1" customWidth="1"/>
    <col min="13834" max="14070" width="11.42578125" style="17"/>
    <col min="14071" max="14071" width="0.42578125" style="17" customWidth="1"/>
    <col min="14072" max="14072" width="2.5703125" style="17" customWidth="1"/>
    <col min="14073" max="14073" width="15.42578125" style="17" customWidth="1"/>
    <col min="14074" max="14074" width="1.42578125" style="17" customWidth="1"/>
    <col min="14075" max="14075" width="27.5703125" style="17" customWidth="1"/>
    <col min="14076" max="14076" width="6.5703125" style="17" customWidth="1"/>
    <col min="14077" max="14077" width="1.5703125" style="17" customWidth="1"/>
    <col min="14078" max="14078" width="10.5703125" style="17" customWidth="1"/>
    <col min="14079" max="14079" width="5.5703125" style="17" customWidth="1"/>
    <col min="14080" max="14080" width="1.5703125" style="17" customWidth="1"/>
    <col min="14081" max="14081" width="10.5703125" style="17" customWidth="1"/>
    <col min="14082" max="14082" width="6.5703125" style="17" customWidth="1"/>
    <col min="14083" max="14083" width="1.5703125" style="17" customWidth="1"/>
    <col min="14084" max="14084" width="10.5703125" style="17" customWidth="1"/>
    <col min="14085" max="14085" width="9.5703125" style="17" customWidth="1"/>
    <col min="14086" max="14086" width="13.42578125" style="17" bestFit="1" customWidth="1"/>
    <col min="14087" max="14087" width="7.5703125" style="17" customWidth="1"/>
    <col min="14088" max="14088" width="11.42578125" style="17"/>
    <col min="14089" max="14089" width="13.42578125" style="17" bestFit="1" customWidth="1"/>
    <col min="14090" max="14326" width="11.42578125" style="17"/>
    <col min="14327" max="14327" width="0.42578125" style="17" customWidth="1"/>
    <col min="14328" max="14328" width="2.5703125" style="17" customWidth="1"/>
    <col min="14329" max="14329" width="15.42578125" style="17" customWidth="1"/>
    <col min="14330" max="14330" width="1.42578125" style="17" customWidth="1"/>
    <col min="14331" max="14331" width="27.5703125" style="17" customWidth="1"/>
    <col min="14332" max="14332" width="6.5703125" style="17" customWidth="1"/>
    <col min="14333" max="14333" width="1.5703125" style="17" customWidth="1"/>
    <col min="14334" max="14334" width="10.5703125" style="17" customWidth="1"/>
    <col min="14335" max="14335" width="5.5703125" style="17" customWidth="1"/>
    <col min="14336" max="14336" width="1.5703125" style="17" customWidth="1"/>
    <col min="14337" max="14337" width="10.5703125" style="17" customWidth="1"/>
    <col min="14338" max="14338" width="6.5703125" style="17" customWidth="1"/>
    <col min="14339" max="14339" width="1.5703125" style="17" customWidth="1"/>
    <col min="14340" max="14340" width="10.5703125" style="17" customWidth="1"/>
    <col min="14341" max="14341" width="9.5703125" style="17" customWidth="1"/>
    <col min="14342" max="14342" width="13.42578125" style="17" bestFit="1" customWidth="1"/>
    <col min="14343" max="14343" width="7.5703125" style="17" customWidth="1"/>
    <col min="14344" max="14344" width="11.42578125" style="17"/>
    <col min="14345" max="14345" width="13.42578125" style="17" bestFit="1" customWidth="1"/>
    <col min="14346" max="14582" width="11.42578125" style="17"/>
    <col min="14583" max="14583" width="0.42578125" style="17" customWidth="1"/>
    <col min="14584" max="14584" width="2.5703125" style="17" customWidth="1"/>
    <col min="14585" max="14585" width="15.42578125" style="17" customWidth="1"/>
    <col min="14586" max="14586" width="1.42578125" style="17" customWidth="1"/>
    <col min="14587" max="14587" width="27.5703125" style="17" customWidth="1"/>
    <col min="14588" max="14588" width="6.5703125" style="17" customWidth="1"/>
    <col min="14589" max="14589" width="1.5703125" style="17" customWidth="1"/>
    <col min="14590" max="14590" width="10.5703125" style="17" customWidth="1"/>
    <col min="14591" max="14591" width="5.5703125" style="17" customWidth="1"/>
    <col min="14592" max="14592" width="1.5703125" style="17" customWidth="1"/>
    <col min="14593" max="14593" width="10.5703125" style="17" customWidth="1"/>
    <col min="14594" max="14594" width="6.5703125" style="17" customWidth="1"/>
    <col min="14595" max="14595" width="1.5703125" style="17" customWidth="1"/>
    <col min="14596" max="14596" width="10.5703125" style="17" customWidth="1"/>
    <col min="14597" max="14597" width="9.5703125" style="17" customWidth="1"/>
    <col min="14598" max="14598" width="13.42578125" style="17" bestFit="1" customWidth="1"/>
    <col min="14599" max="14599" width="7.5703125" style="17" customWidth="1"/>
    <col min="14600" max="14600" width="11.42578125" style="17"/>
    <col min="14601" max="14601" width="13.42578125" style="17" bestFit="1" customWidth="1"/>
    <col min="14602" max="14838" width="11.42578125" style="17"/>
    <col min="14839" max="14839" width="0.42578125" style="17" customWidth="1"/>
    <col min="14840" max="14840" width="2.5703125" style="17" customWidth="1"/>
    <col min="14841" max="14841" width="15.42578125" style="17" customWidth="1"/>
    <col min="14842" max="14842" width="1.42578125" style="17" customWidth="1"/>
    <col min="14843" max="14843" width="27.5703125" style="17" customWidth="1"/>
    <col min="14844" max="14844" width="6.5703125" style="17" customWidth="1"/>
    <col min="14845" max="14845" width="1.5703125" style="17" customWidth="1"/>
    <col min="14846" max="14846" width="10.5703125" style="17" customWidth="1"/>
    <col min="14847" max="14847" width="5.5703125" style="17" customWidth="1"/>
    <col min="14848" max="14848" width="1.5703125" style="17" customWidth="1"/>
    <col min="14849" max="14849" width="10.5703125" style="17" customWidth="1"/>
    <col min="14850" max="14850" width="6.5703125" style="17" customWidth="1"/>
    <col min="14851" max="14851" width="1.5703125" style="17" customWidth="1"/>
    <col min="14852" max="14852" width="10.5703125" style="17" customWidth="1"/>
    <col min="14853" max="14853" width="9.5703125" style="17" customWidth="1"/>
    <col min="14854" max="14854" width="13.42578125" style="17" bestFit="1" customWidth="1"/>
    <col min="14855" max="14855" width="7.5703125" style="17" customWidth="1"/>
    <col min="14856" max="14856" width="11.42578125" style="17"/>
    <col min="14857" max="14857" width="13.42578125" style="17" bestFit="1" customWidth="1"/>
    <col min="14858" max="15094" width="11.42578125" style="17"/>
    <col min="15095" max="15095" width="0.42578125" style="17" customWidth="1"/>
    <col min="15096" max="15096" width="2.5703125" style="17" customWidth="1"/>
    <col min="15097" max="15097" width="15.42578125" style="17" customWidth="1"/>
    <col min="15098" max="15098" width="1.42578125" style="17" customWidth="1"/>
    <col min="15099" max="15099" width="27.5703125" style="17" customWidth="1"/>
    <col min="15100" max="15100" width="6.5703125" style="17" customWidth="1"/>
    <col min="15101" max="15101" width="1.5703125" style="17" customWidth="1"/>
    <col min="15102" max="15102" width="10.5703125" style="17" customWidth="1"/>
    <col min="15103" max="15103" width="5.5703125" style="17" customWidth="1"/>
    <col min="15104" max="15104" width="1.5703125" style="17" customWidth="1"/>
    <col min="15105" max="15105" width="10.5703125" style="17" customWidth="1"/>
    <col min="15106" max="15106" width="6.5703125" style="17" customWidth="1"/>
    <col min="15107" max="15107" width="1.5703125" style="17" customWidth="1"/>
    <col min="15108" max="15108" width="10.5703125" style="17" customWidth="1"/>
    <col min="15109" max="15109" width="9.5703125" style="17" customWidth="1"/>
    <col min="15110" max="15110" width="13.42578125" style="17" bestFit="1" customWidth="1"/>
    <col min="15111" max="15111" width="7.5703125" style="17" customWidth="1"/>
    <col min="15112" max="15112" width="11.42578125" style="17"/>
    <col min="15113" max="15113" width="13.42578125" style="17" bestFit="1" customWidth="1"/>
    <col min="15114" max="15350" width="11.42578125" style="17"/>
    <col min="15351" max="15351" width="0.42578125" style="17" customWidth="1"/>
    <col min="15352" max="15352" width="2.5703125" style="17" customWidth="1"/>
    <col min="15353" max="15353" width="15.42578125" style="17" customWidth="1"/>
    <col min="15354" max="15354" width="1.42578125" style="17" customWidth="1"/>
    <col min="15355" max="15355" width="27.5703125" style="17" customWidth="1"/>
    <col min="15356" max="15356" width="6.5703125" style="17" customWidth="1"/>
    <col min="15357" max="15357" width="1.5703125" style="17" customWidth="1"/>
    <col min="15358" max="15358" width="10.5703125" style="17" customWidth="1"/>
    <col min="15359" max="15359" width="5.5703125" style="17" customWidth="1"/>
    <col min="15360" max="15360" width="1.5703125" style="17" customWidth="1"/>
    <col min="15361" max="15361" width="10.5703125" style="17" customWidth="1"/>
    <col min="15362" max="15362" width="6.5703125" style="17" customWidth="1"/>
    <col min="15363" max="15363" width="1.5703125" style="17" customWidth="1"/>
    <col min="15364" max="15364" width="10.5703125" style="17" customWidth="1"/>
    <col min="15365" max="15365" width="9.5703125" style="17" customWidth="1"/>
    <col min="15366" max="15366" width="13.42578125" style="17" bestFit="1" customWidth="1"/>
    <col min="15367" max="15367" width="7.5703125" style="17" customWidth="1"/>
    <col min="15368" max="15368" width="11.42578125" style="17"/>
    <col min="15369" max="15369" width="13.42578125" style="17" bestFit="1" customWidth="1"/>
    <col min="15370" max="15606" width="11.42578125" style="17"/>
    <col min="15607" max="15607" width="0.42578125" style="17" customWidth="1"/>
    <col min="15608" max="15608" width="2.5703125" style="17" customWidth="1"/>
    <col min="15609" max="15609" width="15.42578125" style="17" customWidth="1"/>
    <col min="15610" max="15610" width="1.42578125" style="17" customWidth="1"/>
    <col min="15611" max="15611" width="27.5703125" style="17" customWidth="1"/>
    <col min="15612" max="15612" width="6.5703125" style="17" customWidth="1"/>
    <col min="15613" max="15613" width="1.5703125" style="17" customWidth="1"/>
    <col min="15614" max="15614" width="10.5703125" style="17" customWidth="1"/>
    <col min="15615" max="15615" width="5.5703125" style="17" customWidth="1"/>
    <col min="15616" max="15616" width="1.5703125" style="17" customWidth="1"/>
    <col min="15617" max="15617" width="10.5703125" style="17" customWidth="1"/>
    <col min="15618" max="15618" width="6.5703125" style="17" customWidth="1"/>
    <col min="15619" max="15619" width="1.5703125" style="17" customWidth="1"/>
    <col min="15620" max="15620" width="10.5703125" style="17" customWidth="1"/>
    <col min="15621" max="15621" width="9.5703125" style="17" customWidth="1"/>
    <col min="15622" max="15622" width="13.42578125" style="17" bestFit="1" customWidth="1"/>
    <col min="15623" max="15623" width="7.5703125" style="17" customWidth="1"/>
    <col min="15624" max="15624" width="11.42578125" style="17"/>
    <col min="15625" max="15625" width="13.42578125" style="17" bestFit="1" customWidth="1"/>
    <col min="15626" max="15862" width="11.42578125" style="17"/>
    <col min="15863" max="15863" width="0.42578125" style="17" customWidth="1"/>
    <col min="15864" max="15864" width="2.5703125" style="17" customWidth="1"/>
    <col min="15865" max="15865" width="15.42578125" style="17" customWidth="1"/>
    <col min="15866" max="15866" width="1.42578125" style="17" customWidth="1"/>
    <col min="15867" max="15867" width="27.5703125" style="17" customWidth="1"/>
    <col min="15868" max="15868" width="6.5703125" style="17" customWidth="1"/>
    <col min="15869" max="15869" width="1.5703125" style="17" customWidth="1"/>
    <col min="15870" max="15870" width="10.5703125" style="17" customWidth="1"/>
    <col min="15871" max="15871" width="5.5703125" style="17" customWidth="1"/>
    <col min="15872" max="15872" width="1.5703125" style="17" customWidth="1"/>
    <col min="15873" max="15873" width="10.5703125" style="17" customWidth="1"/>
    <col min="15874" max="15874" width="6.5703125" style="17" customWidth="1"/>
    <col min="15875" max="15875" width="1.5703125" style="17" customWidth="1"/>
    <col min="15876" max="15876" width="10.5703125" style="17" customWidth="1"/>
    <col min="15877" max="15877" width="9.5703125" style="17" customWidth="1"/>
    <col min="15878" max="15878" width="13.42578125" style="17" bestFit="1" customWidth="1"/>
    <col min="15879" max="15879" width="7.5703125" style="17" customWidth="1"/>
    <col min="15880" max="15880" width="11.42578125" style="17"/>
    <col min="15881" max="15881" width="13.42578125" style="17" bestFit="1" customWidth="1"/>
    <col min="15882" max="16118" width="11.42578125" style="17"/>
    <col min="16119" max="16119" width="0.42578125" style="17" customWidth="1"/>
    <col min="16120" max="16120" width="2.5703125" style="17" customWidth="1"/>
    <col min="16121" max="16121" width="15.42578125" style="17" customWidth="1"/>
    <col min="16122" max="16122" width="1.42578125" style="17" customWidth="1"/>
    <col min="16123" max="16123" width="27.5703125" style="17" customWidth="1"/>
    <col min="16124" max="16124" width="6.5703125" style="17" customWidth="1"/>
    <col min="16125" max="16125" width="1.5703125" style="17" customWidth="1"/>
    <col min="16126" max="16126" width="10.5703125" style="17" customWidth="1"/>
    <col min="16127" max="16127" width="5.5703125" style="17" customWidth="1"/>
    <col min="16128" max="16128" width="1.5703125" style="17" customWidth="1"/>
    <col min="16129" max="16129" width="10.5703125" style="17" customWidth="1"/>
    <col min="16130" max="16130" width="6.5703125" style="17" customWidth="1"/>
    <col min="16131" max="16131" width="1.5703125" style="17" customWidth="1"/>
    <col min="16132" max="16132" width="10.5703125" style="17" customWidth="1"/>
    <col min="16133" max="16133" width="9.5703125" style="17" customWidth="1"/>
    <col min="16134" max="16134" width="13.42578125" style="17" bestFit="1" customWidth="1"/>
    <col min="16135" max="16135" width="7.5703125" style="17" customWidth="1"/>
    <col min="16136" max="16136" width="11.42578125" style="17"/>
    <col min="16137" max="16137" width="13.425781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0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1" t="str">
        <f>Indice!E3</f>
        <v>Junio 2026</v>
      </c>
    </row>
    <row r="4" spans="1:19" s="7" customFormat="1" ht="20.25" customHeight="1">
      <c r="B4" s="8"/>
      <c r="C4" s="99" t="s">
        <v>64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27" t="s">
        <v>60</v>
      </c>
      <c r="D7" s="12"/>
      <c r="E7" s="13"/>
      <c r="F7" s="328" t="str">
        <f>K3</f>
        <v>Junio 2026</v>
      </c>
      <c r="G7" s="329"/>
      <c r="H7" s="330" t="s">
        <v>61</v>
      </c>
      <c r="I7" s="330"/>
      <c r="J7" s="330" t="s">
        <v>68</v>
      </c>
      <c r="K7" s="330"/>
      <c r="L7" s="9"/>
    </row>
    <row r="8" spans="1:19" ht="12.75" customHeight="1">
      <c r="A8" s="7"/>
      <c r="B8" s="8"/>
      <c r="C8" s="327"/>
      <c r="D8" s="12"/>
      <c r="E8" s="14"/>
      <c r="F8" s="15" t="s">
        <v>0</v>
      </c>
      <c r="G8" s="25" t="str">
        <f>CONCATENATE("% ",MID(YEAR(F7),3,2),"/",MID(YEAR(F7)-1,3,2))</f>
        <v>% 26/25</v>
      </c>
      <c r="H8" s="15" t="s">
        <v>0</v>
      </c>
      <c r="I8" s="25" t="str">
        <f>G8</f>
        <v>% 26/25</v>
      </c>
      <c r="J8" s="15" t="s">
        <v>0</v>
      </c>
      <c r="K8" s="25" t="str">
        <f>G8</f>
        <v>% 26/25</v>
      </c>
      <c r="L8" s="16"/>
    </row>
    <row r="9" spans="1:19">
      <c r="A9" s="7"/>
      <c r="B9" s="8"/>
      <c r="C9" s="18"/>
      <c r="D9" s="12"/>
      <c r="E9" s="87" t="s">
        <v>2</v>
      </c>
      <c r="F9" s="88">
        <f>VLOOKUP("Hidráulica",Dat_01!$A$8:$J$30,2,FALSE)/1000</f>
        <v>2108.1172669940001</v>
      </c>
      <c r="G9" s="89">
        <f>VLOOKUP("Hidráulica",Dat_01!$A$8:$J$30,4,FALSE)*100</f>
        <v>-12.50119905</v>
      </c>
      <c r="H9" s="88">
        <f>VLOOKUP("Hidráulica",Dat_01!$A$8:$J$30,5,FALSE)/1000</f>
        <v>19168.498012564</v>
      </c>
      <c r="I9" s="89">
        <f>VLOOKUP("Hidráulica",Dat_01!$A$8:$J$30,7,FALSE)*100</f>
        <v>-10.240078609999999</v>
      </c>
      <c r="J9" s="88">
        <f>VLOOKUP("Hidráulica",Dat_01!$A$8:$J$30,8,FALSE)/1000</f>
        <v>31512.445725589001</v>
      </c>
      <c r="K9" s="89">
        <f>VLOOKUP("Hidráulica",Dat_01!$A$8:$J$30,10,FALSE)*100</f>
        <v>-10.17789954</v>
      </c>
      <c r="L9" s="19"/>
      <c r="M9" s="168"/>
      <c r="N9" s="168"/>
      <c r="O9" s="169"/>
      <c r="P9" s="168"/>
      <c r="Q9" s="169"/>
      <c r="R9" s="168"/>
      <c r="S9" s="169"/>
    </row>
    <row r="10" spans="1:19">
      <c r="A10" s="7"/>
      <c r="B10" s="8"/>
      <c r="C10" s="18"/>
      <c r="D10" s="12"/>
      <c r="E10" s="87" t="s">
        <v>5</v>
      </c>
      <c r="F10" s="88">
        <f>VLOOKUP("Eólica",Dat_01!$A$8:$J$30,2,FALSE)/1000</f>
        <v>3745.7366740000002</v>
      </c>
      <c r="G10" s="89">
        <f>VLOOKUP("Eólica",Dat_01!$A$8:$J$30,4,FALSE)*100</f>
        <v>21.724721580000001</v>
      </c>
      <c r="H10" s="88">
        <f>VLOOKUP("Eólica",Dat_01!$A$8:$J$30,5,FALSE)/1000</f>
        <v>30352.062291000002</v>
      </c>
      <c r="I10" s="89">
        <f>VLOOKUP("Eólica",Dat_01!$A$8:$J$30,7,FALSE)*100</f>
        <v>6.4806903599999997</v>
      </c>
      <c r="J10" s="88">
        <f>VLOOKUP("Eólica",Dat_01!$A$8:$J$30,8,FALSE)/1000</f>
        <v>59230.455403</v>
      </c>
      <c r="K10" s="89">
        <f>VLOOKUP("Eólica",Dat_01!$A$8:$J$30,10,FALSE)*100</f>
        <v>5.0512196199999995</v>
      </c>
      <c r="L10" s="19"/>
      <c r="M10" s="168"/>
      <c r="N10" s="168"/>
      <c r="O10" s="169"/>
      <c r="P10" s="168"/>
      <c r="Q10" s="169"/>
      <c r="R10" s="168"/>
      <c r="S10" s="169"/>
    </row>
    <row r="11" spans="1:19">
      <c r="A11" s="7"/>
      <c r="B11" s="8"/>
      <c r="C11" s="11"/>
      <c r="D11" s="12"/>
      <c r="E11" s="87" t="s">
        <v>6</v>
      </c>
      <c r="F11" s="88">
        <f>VLOOKUP("Solar fotovoltaica",Dat_01!$A$8:$J$30,2,FALSE)/1000</f>
        <v>7013.336182</v>
      </c>
      <c r="G11" s="89">
        <f>VLOOKUP("Solar fotovoltaica",Dat_01!$A$8:$J$30,4,FALSE)*100</f>
        <v>18.223325369999998</v>
      </c>
      <c r="H11" s="88">
        <f>VLOOKUP("Solar fotovoltaica",Dat_01!$A$8:$J$30,5,FALSE)/1000</f>
        <v>27047.052134000001</v>
      </c>
      <c r="I11" s="89">
        <f>VLOOKUP("Solar fotovoltaica",Dat_01!$A$8:$J$30,7,FALSE)*100</f>
        <v>16.66241892</v>
      </c>
      <c r="J11" s="88">
        <f>VLOOKUP("Solar fotovoltaica",Dat_01!$A$8:$J$30,8,FALSE)/1000</f>
        <v>53161.760764999999</v>
      </c>
      <c r="K11" s="89">
        <f>VLOOKUP("Solar fotovoltaica",Dat_01!$A$8:$J$30,10,FALSE)*100</f>
        <v>16.159214349999999</v>
      </c>
      <c r="L11" s="19"/>
      <c r="M11" s="168"/>
      <c r="N11" s="168"/>
      <c r="O11" s="169"/>
      <c r="P11" s="168"/>
      <c r="Q11" s="169"/>
      <c r="R11" s="168"/>
      <c r="S11" s="169"/>
    </row>
    <row r="12" spans="1:19">
      <c r="A12" s="7"/>
      <c r="B12" s="8"/>
      <c r="C12" s="11"/>
      <c r="D12" s="12"/>
      <c r="E12" s="87" t="s">
        <v>7</v>
      </c>
      <c r="F12" s="88">
        <f>VLOOKUP("Solar térmica",Dat_01!$A$8:$J$30,2,FALSE)/1000</f>
        <v>622.22796100000005</v>
      </c>
      <c r="G12" s="89">
        <f>VLOOKUP("Solar térmica",Dat_01!$A$8:$J$30,4,FALSE)*100</f>
        <v>27.97077367</v>
      </c>
      <c r="H12" s="88">
        <f>VLOOKUP("Solar térmica",Dat_01!$A$8:$J$30,5,FALSE)/1000</f>
        <v>1994.3901350000001</v>
      </c>
      <c r="I12" s="89">
        <f>VLOOKUP("Solar térmica",Dat_01!$A$8:$J$30,7,FALSE)*100</f>
        <v>14.52373781</v>
      </c>
      <c r="J12" s="88">
        <f>VLOOKUP("Solar térmica",Dat_01!$A$8:$J$30,8,FALSE)/1000</f>
        <v>3934.9252470000001</v>
      </c>
      <c r="K12" s="89">
        <f>VLOOKUP("Solar térmica",Dat_01!$A$8:$J$30,10,FALSE)*100</f>
        <v>0.66695223000000003</v>
      </c>
      <c r="L12" s="19"/>
      <c r="M12" s="168"/>
      <c r="N12" s="168"/>
      <c r="O12" s="169"/>
      <c r="P12" s="168"/>
      <c r="Q12" s="169"/>
      <c r="R12" s="168"/>
      <c r="S12" s="169"/>
    </row>
    <row r="13" spans="1:19">
      <c r="A13" s="7"/>
      <c r="B13" s="8"/>
      <c r="C13" s="20"/>
      <c r="D13" s="12"/>
      <c r="E13" s="87" t="s">
        <v>131</v>
      </c>
      <c r="F13" s="88">
        <f>VLOOKUP("Otras renovables",Dat_01!$A$8:$J$30,2,FALSE)/1000</f>
        <v>335.469852</v>
      </c>
      <c r="G13" s="89">
        <f>VLOOKUP("Otras renovables",Dat_01!$A$8:$J$30,4,FALSE)*100</f>
        <v>6.3366499500000009</v>
      </c>
      <c r="H13" s="88">
        <f>VLOOKUP("Otras renovables",Dat_01!$A$8:$J$30,5,FALSE)/1000</f>
        <v>1793.806274</v>
      </c>
      <c r="I13" s="89">
        <f>VLOOKUP("Otras renovables",Dat_01!$A$8:$J$30,7,FALSE)*100</f>
        <v>-5.0979523999999996</v>
      </c>
      <c r="J13" s="88">
        <f>VLOOKUP("Otras renovables",Dat_01!$A$8:$J$30,8,FALSE)/1000</f>
        <v>3794.5919840000001</v>
      </c>
      <c r="K13" s="89">
        <f>VLOOKUP("Otras renovables",Dat_01!$A$8:$J$30,10,FALSE)*100</f>
        <v>0.51099537000000006</v>
      </c>
      <c r="L13" s="19"/>
      <c r="M13" s="168"/>
      <c r="N13" s="168"/>
      <c r="O13" s="169"/>
      <c r="P13" s="168"/>
      <c r="Q13" s="169"/>
      <c r="R13" s="168"/>
      <c r="S13" s="169"/>
    </row>
    <row r="14" spans="1:19" ht="12.75" customHeight="1">
      <c r="A14" s="7"/>
      <c r="B14" s="8"/>
      <c r="C14" s="11"/>
      <c r="D14" s="12"/>
      <c r="E14" s="87" t="s">
        <v>79</v>
      </c>
      <c r="F14" s="88">
        <f>VLOOKUP("Residuos renovables",Dat_01!$A$8:$J$30,2,FALSE)/1000</f>
        <v>50.901923499999995</v>
      </c>
      <c r="G14" s="89">
        <f>VLOOKUP("Residuos renovables",Dat_01!$A$8:$J$30,4,FALSE)*100</f>
        <v>114.60697082999999</v>
      </c>
      <c r="H14" s="88">
        <f>VLOOKUP("Residuos renovables",Dat_01!$A$8:$J$30,5,FALSE)/1000</f>
        <v>264.69103200000001</v>
      </c>
      <c r="I14" s="89">
        <f>VLOOKUP("Residuos renovables",Dat_01!$A$8:$J$30,7,FALSE)*100</f>
        <v>5.0943656900000001</v>
      </c>
      <c r="J14" s="88">
        <f>VLOOKUP("Residuos renovables",Dat_01!$A$8:$J$30,8,FALSE)/1000</f>
        <v>581.64995599999997</v>
      </c>
      <c r="K14" s="89">
        <f>VLOOKUP("Residuos renovables",Dat_01!$A$8:$J$30,10,FALSE)*100</f>
        <v>-6.9844936400000002</v>
      </c>
      <c r="L14" s="19"/>
      <c r="M14" s="168"/>
      <c r="N14" s="168"/>
      <c r="O14" s="169"/>
      <c r="P14" s="168"/>
      <c r="Q14" s="169"/>
      <c r="R14" s="168"/>
      <c r="S14" s="169"/>
    </row>
    <row r="15" spans="1:19" ht="12.75" customHeight="1">
      <c r="A15" s="7"/>
      <c r="B15" s="8"/>
      <c r="C15" s="11"/>
      <c r="D15" s="12"/>
      <c r="E15" s="90" t="s">
        <v>129</v>
      </c>
      <c r="F15" s="91">
        <f>SUM(F9:F14)</f>
        <v>13875.789859494002</v>
      </c>
      <c r="G15" s="92">
        <f>((SUM(Dat_01!B8,Dat_01!B14:B17,Dat_01!B19)/SUM(Dat_01!C8,Dat_01!C14:C17,Dat_01!C19))-1)*100</f>
        <v>13.325118981748973</v>
      </c>
      <c r="H15" s="91">
        <f>SUM(H9:H14)</f>
        <v>80620.499878564005</v>
      </c>
      <c r="I15" s="92">
        <f>((SUM(Dat_01!E8,Dat_01!E14:E17,Dat_01!E19)/SUM(Dat_01!F8,Dat_01!F14:F17,Dat_01!F19))-1)*100</f>
        <v>4.8005190089781546</v>
      </c>
      <c r="J15" s="91">
        <f>SUM(J9:J14)</f>
        <v>152215.82908058903</v>
      </c>
      <c r="K15" s="92">
        <f>((SUM(Dat_01!H8,Dat_01!H14:H17,Dat_01!H19)/SUM(Dat_01!I8,Dat_01!I14:I17,Dat_01!I19))-1)*100</f>
        <v>4.5859320730824438</v>
      </c>
      <c r="L15" s="19"/>
      <c r="M15" s="168"/>
      <c r="N15" s="168"/>
      <c r="O15" s="169"/>
      <c r="P15" s="168"/>
      <c r="Q15" s="169"/>
      <c r="R15" s="168"/>
      <c r="S15" s="169"/>
    </row>
    <row r="16" spans="1:19">
      <c r="A16" s="7"/>
      <c r="B16" s="8"/>
      <c r="C16" s="11"/>
      <c r="D16" s="12"/>
      <c r="E16" s="87" t="s">
        <v>3</v>
      </c>
      <c r="F16" s="88">
        <f>VLOOKUP("Nuclear",Dat_01!$A$8:$J$30,2,FALSE)/1000</f>
        <v>4457.5635389999998</v>
      </c>
      <c r="G16" s="89">
        <f>VLOOKUP("Nuclear",Dat_01!$A$8:$J$30,4,FALSE)*100</f>
        <v>8.817132749999999</v>
      </c>
      <c r="H16" s="88">
        <f>VLOOKUP("Nuclear",Dat_01!$A$8:$J$30,5,FALSE)/1000</f>
        <v>25309.215816</v>
      </c>
      <c r="I16" s="89">
        <f>VLOOKUP("Nuclear",Dat_01!$A$8:$J$30,7,FALSE)*100</f>
        <v>1.4308473500000001</v>
      </c>
      <c r="J16" s="88">
        <f>VLOOKUP("Nuclear",Dat_01!$A$8:$J$30,8,FALSE)/1000</f>
        <v>52203.930840000001</v>
      </c>
      <c r="K16" s="89">
        <f>VLOOKUP("Nuclear",Dat_01!$A$8:$J$30,10,FALSE)*100</f>
        <v>-0.92503215999999999</v>
      </c>
      <c r="L16" s="19"/>
      <c r="M16" s="168"/>
      <c r="N16" s="168"/>
      <c r="O16" s="169"/>
      <c r="P16" s="168"/>
      <c r="Q16" s="169"/>
      <c r="R16" s="168"/>
      <c r="S16" s="169"/>
    </row>
    <row r="17" spans="1:19">
      <c r="A17" s="7"/>
      <c r="B17" s="8"/>
      <c r="C17" s="11"/>
      <c r="D17" s="12"/>
      <c r="E17" s="87" t="s">
        <v>199</v>
      </c>
      <c r="F17" s="88">
        <f>VLOOKUP("Ciclo combinado",Dat_01!$A$8:$J$30,2,FALSE)/1000</f>
        <v>3233.6205610000002</v>
      </c>
      <c r="G17" s="89">
        <f>VLOOKUP("Ciclo combinado",Dat_01!$A$8:$J$30,4,FALSE)*100</f>
        <v>-18.774274290000001</v>
      </c>
      <c r="H17" s="88">
        <f>VLOOKUP("Ciclo combinado",Dat_01!$A$8:$J$30,5,FALSE)/1000</f>
        <v>16663.473635999999</v>
      </c>
      <c r="I17" s="89">
        <f>VLOOKUP("Ciclo combinado",Dat_01!$A$8:$J$30,7,FALSE)*100</f>
        <v>3.6979746499999999</v>
      </c>
      <c r="J17" s="88">
        <f>VLOOKUP("Ciclo combinado",Dat_01!$A$8:$J$30,8,FALSE)/1000</f>
        <v>39404.706164999996</v>
      </c>
      <c r="K17" s="89">
        <f>VLOOKUP("Ciclo combinado",Dat_01!$A$8:$J$30,10,FALSE)*100</f>
        <v>14.77566706</v>
      </c>
      <c r="L17" s="19"/>
      <c r="M17" s="168"/>
      <c r="N17" s="168"/>
      <c r="O17" s="169"/>
      <c r="P17" s="168"/>
      <c r="Q17" s="169"/>
      <c r="R17" s="168"/>
      <c r="S17" s="169"/>
    </row>
    <row r="18" spans="1:19">
      <c r="A18" s="7"/>
      <c r="B18" s="8"/>
      <c r="C18" s="11"/>
      <c r="D18" s="12"/>
      <c r="E18" s="87" t="s">
        <v>4</v>
      </c>
      <c r="F18" s="88">
        <f>VLOOKUP("Carbón",Dat_01!$A$8:$J$30,2,FALSE)/1000</f>
        <v>13.074674000000002</v>
      </c>
      <c r="G18" s="89">
        <f>VLOOKUP("Carbón",Dat_01!$A$8:$J$30,4,FALSE)*100</f>
        <v>-91.517761280000002</v>
      </c>
      <c r="H18" s="88">
        <f>VLOOKUP("Carbón",Dat_01!$A$8:$J$30,5,FALSE)/1000</f>
        <v>127.82666400000001</v>
      </c>
      <c r="I18" s="89">
        <f>VLOOKUP("Carbón",Dat_01!$A$8:$J$30,7,FALSE)*100</f>
        <v>-89.641564329999994</v>
      </c>
      <c r="J18" s="88">
        <f>VLOOKUP("Carbón",Dat_01!$A$8:$J$30,8,FALSE)/1000</f>
        <v>314.12258200000002</v>
      </c>
      <c r="K18" s="89">
        <f>VLOOKUP("Carbón",Dat_01!$A$8:$J$30,10,FALSE)*100</f>
        <v>-89.102483410000005</v>
      </c>
      <c r="L18" s="19"/>
      <c r="M18" s="168"/>
      <c r="N18" s="168"/>
      <c r="O18" s="169"/>
      <c r="P18" s="168"/>
      <c r="Q18" s="169"/>
      <c r="R18" s="168"/>
      <c r="S18" s="169"/>
    </row>
    <row r="19" spans="1:19">
      <c r="A19" s="7"/>
      <c r="B19" s="8"/>
      <c r="C19" s="11"/>
      <c r="D19" s="12"/>
      <c r="E19" s="87" t="s">
        <v>135</v>
      </c>
      <c r="F19" s="88">
        <f>VLOOKUP("Turbina de vapor",Dat_01!$A$8:$J$30,2,FALSE)/1000</f>
        <v>209.14115200000001</v>
      </c>
      <c r="G19" s="89" t="s">
        <v>18</v>
      </c>
      <c r="H19" s="88">
        <f>VLOOKUP("Turbina de vapor",Dat_01!$A$8:$J$30,5,FALSE)/1000</f>
        <v>1277.059925</v>
      </c>
      <c r="I19" s="89" t="s">
        <v>18</v>
      </c>
      <c r="J19" s="88">
        <f>VLOOKUP("Turbina de vapor",Dat_01!$A$8:$J$30,8,FALSE)/1000</f>
        <v>2400.1983890000001</v>
      </c>
      <c r="K19" s="89" t="s">
        <v>18</v>
      </c>
      <c r="L19" s="19"/>
      <c r="M19" s="168"/>
      <c r="N19" s="168"/>
      <c r="O19" s="169"/>
      <c r="P19" s="168"/>
      <c r="Q19" s="169"/>
      <c r="R19" s="168"/>
      <c r="S19" s="169"/>
    </row>
    <row r="20" spans="1:19">
      <c r="A20" s="7"/>
      <c r="B20" s="8"/>
      <c r="C20" s="155">
        <f>ABS(F14)</f>
        <v>50.901923499999995</v>
      </c>
      <c r="D20" s="12"/>
      <c r="E20" s="87" t="s">
        <v>9</v>
      </c>
      <c r="F20" s="88">
        <f>VLOOKUP("Cogeneración",Dat_01!$A$8:$J$30,2,FALSE)/1000</f>
        <v>1131.777734</v>
      </c>
      <c r="G20" s="89">
        <f>VLOOKUP("Cogeneración",Dat_01!$A$8:$J$30,4,FALSE)*100</f>
        <v>-17.605881350000001</v>
      </c>
      <c r="H20" s="88">
        <f>VLOOKUP("Cogeneración",Dat_01!$A$8:$J$30,5,FALSE)/1000</f>
        <v>5650.3964980000001</v>
      </c>
      <c r="I20" s="89">
        <f>VLOOKUP("Cogeneración",Dat_01!$A$8:$J$30,7,FALSE)*100</f>
        <v>-26.128712629999999</v>
      </c>
      <c r="J20" s="88">
        <f>VLOOKUP("Cogeneración",Dat_01!$A$8:$J$30,8,FALSE)/1000</f>
        <v>13476.052608</v>
      </c>
      <c r="K20" s="89">
        <f>VLOOKUP("Cogeneración",Dat_01!$A$8:$J$30,10,FALSE)*100</f>
        <v>-16.401598319999998</v>
      </c>
      <c r="L20" s="19"/>
      <c r="M20" s="168"/>
      <c r="N20" s="168"/>
      <c r="O20" s="169"/>
      <c r="P20" s="168"/>
      <c r="Q20" s="169"/>
      <c r="R20" s="168"/>
      <c r="S20" s="169"/>
    </row>
    <row r="21" spans="1:19">
      <c r="A21" s="7"/>
      <c r="B21" s="8"/>
      <c r="C21" s="11"/>
      <c r="D21" s="12"/>
      <c r="E21" s="87" t="s">
        <v>67</v>
      </c>
      <c r="F21" s="88">
        <f>VLOOKUP("Residuos no renovables",Dat_01!$A$8:$J$30,2,FALSE)/1000</f>
        <v>72.343810500000004</v>
      </c>
      <c r="G21" s="89">
        <f>VLOOKUP("Residuos no renovables",Dat_01!$A$8:$J$30,4,FALSE)*100</f>
        <v>23.280426200000001</v>
      </c>
      <c r="H21" s="88">
        <f>VLOOKUP("Residuos no renovables",Dat_01!$A$8:$J$30,5,FALSE)/1000</f>
        <v>393.56870799999996</v>
      </c>
      <c r="I21" s="89">
        <f>VLOOKUP("Residuos no renovables",Dat_01!$A$8:$J$30,7,FALSE)*100</f>
        <v>-4.3199442699999997</v>
      </c>
      <c r="J21" s="88">
        <f>VLOOKUP("Residuos no renovables",Dat_01!$A$8:$J$30,8,FALSE)/1000</f>
        <v>904.07946800000002</v>
      </c>
      <c r="K21" s="89">
        <f>VLOOKUP("Residuos no renovables",Dat_01!$A$8:$J$30,10,FALSE)*100</f>
        <v>-20.649690920000001</v>
      </c>
      <c r="L21" s="19"/>
      <c r="M21" s="168"/>
      <c r="N21" s="168"/>
      <c r="O21" s="169"/>
      <c r="P21" s="168"/>
      <c r="Q21" s="169"/>
      <c r="R21" s="168"/>
      <c r="S21" s="169"/>
    </row>
    <row r="22" spans="1:19">
      <c r="A22" s="7"/>
      <c r="B22" s="8"/>
      <c r="C22" s="11"/>
      <c r="D22" s="12"/>
      <c r="E22" s="90" t="s">
        <v>130</v>
      </c>
      <c r="F22" s="91">
        <f>SUM(F16:F21)</f>
        <v>9117.5214705000017</v>
      </c>
      <c r="G22" s="92">
        <f>((SUM(Dat_01!B9:B13,Dat_01!B18,Dat_01!B20)/SUM(Dat_01!C9:C13,Dat_01!C18,Dat_01!C20))-1)*100</f>
        <v>-5.6533132006432059</v>
      </c>
      <c r="H22" s="91">
        <f>SUM(H16:H21)</f>
        <v>49421.541247000001</v>
      </c>
      <c r="I22" s="92">
        <f>((SUM(Dat_01!E9:E13,Dat_01!E18,Dat_01!E20)/SUM(Dat_01!F9:F13,Dat_01!F18,Dat_01!F20))-1)*100</f>
        <v>-1.7772402218948491</v>
      </c>
      <c r="J22" s="91">
        <f>SUM(J16:J21)</f>
        <v>108703.09005199999</v>
      </c>
      <c r="K22" s="92">
        <f>((SUM(Dat_01!H9:H13,Dat_01!H18,Dat_01!H20)/SUM(Dat_01!I9:I13,Dat_01!I18,Dat_01!I20))-1)*100</f>
        <v>1.4351287519466016</v>
      </c>
      <c r="L22" s="19"/>
      <c r="M22" s="168"/>
      <c r="N22" s="168"/>
      <c r="O22" s="169"/>
      <c r="P22" s="168"/>
      <c r="Q22" s="169"/>
      <c r="R22" s="168"/>
      <c r="S22" s="169"/>
    </row>
    <row r="23" spans="1:19">
      <c r="A23" s="7"/>
      <c r="B23" s="8"/>
      <c r="C23" s="11"/>
      <c r="D23" s="12"/>
      <c r="E23" s="87" t="s">
        <v>201</v>
      </c>
      <c r="F23" s="88">
        <f>VLOOKUP("Turbinación bombeo",Dat_01!$A$8:$J$30,2,FALSE)/1000</f>
        <v>632.53847960400003</v>
      </c>
      <c r="G23" s="89">
        <f>VLOOKUP("Turbinación bombeo",Dat_01!$A$8:$J$30,4,FALSE)*100</f>
        <v>32.582138970000003</v>
      </c>
      <c r="H23" s="88">
        <f>VLOOKUP("Turbinación bombeo",Dat_01!$A$8:$J$30,5,FALSE)/1000</f>
        <v>3548.9563625199999</v>
      </c>
      <c r="I23" s="89">
        <f>VLOOKUP("Turbinación bombeo",Dat_01!$A$8:$J$30,7,FALSE)*100</f>
        <v>22.23916333</v>
      </c>
      <c r="J23" s="88">
        <f>VLOOKUP("Turbinación bombeo",Dat_01!$A$8:$J$30,8,FALSE)/1000</f>
        <v>6531.6888778570001</v>
      </c>
      <c r="K23" s="89">
        <f>VLOOKUP("Turbinación bombeo",Dat_01!$A$8:$J$30,10,FALSE)*100</f>
        <v>26.078746779999999</v>
      </c>
      <c r="L23" s="19"/>
      <c r="M23" s="168"/>
      <c r="N23" s="168"/>
      <c r="O23" s="169"/>
      <c r="P23" s="168"/>
      <c r="Q23" s="169"/>
      <c r="R23" s="168"/>
      <c r="S23" s="169"/>
    </row>
    <row r="24" spans="1:19">
      <c r="A24" s="7"/>
      <c r="B24" s="8"/>
      <c r="C24" s="11"/>
      <c r="D24" s="12"/>
      <c r="E24" s="93" t="s">
        <v>12</v>
      </c>
      <c r="F24" s="88">
        <f>VLOOKUP("Consumo de bombeo",Dat_01!$A$8:$J$30,2,FALSE)/1000</f>
        <v>-999.24857099999997</v>
      </c>
      <c r="G24" s="89">
        <f>VLOOKUP("Consumo de bombeo",Dat_01!$A$8:$J$30,4,FALSE)*100</f>
        <v>39.051036330000002</v>
      </c>
      <c r="H24" s="88">
        <f>VLOOKUP("Consumo de bombeo",Dat_01!$A$8:$J$30,5,FALSE)/1000</f>
        <v>-5703.2515009690005</v>
      </c>
      <c r="I24" s="89">
        <f>VLOOKUP("Consumo de bombeo",Dat_01!$A$8:$J$30,7,FALSE)*100</f>
        <v>22.302798960000001</v>
      </c>
      <c r="J24" s="88">
        <f>VLOOKUP("Consumo de bombeo",Dat_01!$A$8:$J$30,8,FALSE)/1000</f>
        <v>-10193.987028044001</v>
      </c>
      <c r="K24" s="89">
        <f>VLOOKUP("Consumo de bombeo",Dat_01!$A$8:$J$30,10,FALSE)*100</f>
        <v>24.417212460000002</v>
      </c>
      <c r="L24" s="19"/>
      <c r="M24" s="168"/>
      <c r="N24" s="168"/>
      <c r="O24" s="169"/>
      <c r="P24" s="168"/>
      <c r="Q24" s="169"/>
      <c r="R24" s="168"/>
      <c r="S24" s="169"/>
    </row>
    <row r="25" spans="1:19">
      <c r="A25" s="7"/>
      <c r="B25" s="8"/>
      <c r="C25" s="11"/>
      <c r="D25" s="12"/>
      <c r="E25" s="93" t="s">
        <v>193</v>
      </c>
      <c r="F25" s="88">
        <f>VLOOKUP("Entrega batería",Dat_01!$A$8:$J$30,2,FALSE)/1000</f>
        <v>1.344233</v>
      </c>
      <c r="G25" s="89">
        <f>IF(VLOOKUP("Entrega batería",Dat_01!$A$8:$J$30,4,FALSE)=-100%,"-",VLOOKUP("Entrega batería",Dat_01!$A$8:$J$30,4,FALSE)*100)</f>
        <v>85.246897930000003</v>
      </c>
      <c r="H25" s="88">
        <f>VLOOKUP("Entrega batería",Dat_01!$A$8:$J$30,5,FALSE)/1000</f>
        <v>7.7659219999999998</v>
      </c>
      <c r="I25" s="89">
        <f>VLOOKUP("Entrega batería",Dat_01!$A$8:$J$30,7,FALSE)*100</f>
        <v>111.46007487</v>
      </c>
      <c r="J25" s="88">
        <f>VLOOKUP("Entrega batería",Dat_01!$A$8:$J$30,8,FALSE)/1000</f>
        <v>11.501488999999999</v>
      </c>
      <c r="K25" s="89">
        <f>VLOOKUP("Entrega batería",Dat_01!$A$8:$J$30,10,FALSE)*100</f>
        <v>26.315088330000002</v>
      </c>
      <c r="L25" s="19"/>
      <c r="M25" s="168"/>
      <c r="N25" s="168"/>
      <c r="O25" s="169"/>
      <c r="P25" s="168"/>
      <c r="Q25" s="169"/>
      <c r="R25" s="168"/>
      <c r="S25" s="169"/>
    </row>
    <row r="26" spans="1:19">
      <c r="A26" s="7"/>
      <c r="B26" s="8"/>
      <c r="C26" s="11"/>
      <c r="D26" s="12"/>
      <c r="E26" s="93" t="s">
        <v>194</v>
      </c>
      <c r="F26" s="88">
        <f>VLOOKUP("Carga batería",Dat_01!$A$8:$J$30,2,FALSE)/1000</f>
        <v>-1.6204069999999999</v>
      </c>
      <c r="G26" s="89">
        <f>IF(VLOOKUP("Carga batería",Dat_01!$A$8:$J$30,4,FALSE)=-100%,"-",VLOOKUP("Carga batería",Dat_01!$A$8:$J$30,4,FALSE)*100)</f>
        <v>78.782619629999999</v>
      </c>
      <c r="H26" s="88">
        <f>VLOOKUP("Carga batería",Dat_01!$A$8:$J$30,5,FALSE)/1000</f>
        <v>-9.291264</v>
      </c>
      <c r="I26" s="89">
        <f>VLOOKUP("Carga batería",Dat_01!$A$8:$J$30,7,FALSE)*100</f>
        <v>104.73460947999999</v>
      </c>
      <c r="J26" s="88">
        <f>VLOOKUP("Carga batería",Dat_01!$A$8:$J$30,8,FALSE)/1000</f>
        <v>-14.012649999999999</v>
      </c>
      <c r="K26" s="89">
        <f>VLOOKUP("Carga batería",Dat_01!$A$8:$J$30,10,FALSE)*100</f>
        <v>25.864458389999999</v>
      </c>
      <c r="L26" s="19"/>
      <c r="M26" s="168"/>
      <c r="N26" s="168"/>
      <c r="O26" s="169"/>
      <c r="P26" s="168"/>
      <c r="Q26" s="169"/>
      <c r="R26" s="168"/>
      <c r="S26" s="169"/>
    </row>
    <row r="27" spans="1:19">
      <c r="A27" s="7"/>
      <c r="B27" s="8"/>
      <c r="C27" s="11"/>
      <c r="D27" s="12"/>
      <c r="E27" s="90" t="s">
        <v>195</v>
      </c>
      <c r="F27" s="91">
        <f>SUM(F23:F26)</f>
        <v>-366.98626539599996</v>
      </c>
      <c r="G27" s="92">
        <f>((SUM(Dat_01!B22:B25)/SUM(Dat_01!C22:C25))-1)*100</f>
        <v>51.829822395257487</v>
      </c>
      <c r="H27" s="91">
        <f>SUM(H23:H26)</f>
        <v>-2155.8204804490006</v>
      </c>
      <c r="I27" s="92">
        <f>((SUM(Dat_01!E22:E25)/SUM(Dat_01!F22:F25))-1)*100</f>
        <v>22.434223591613247</v>
      </c>
      <c r="J27" s="91">
        <f>SUM(J23:J26)</f>
        <v>-3664.8093111870007</v>
      </c>
      <c r="K27" s="92">
        <f>((SUM(Dat_01!H22:H25)/SUM(Dat_01!I22:I25))-1)*100</f>
        <v>21.561615216989537</v>
      </c>
      <c r="L27" s="19"/>
      <c r="M27" s="168"/>
      <c r="N27" s="168"/>
      <c r="O27" s="169"/>
      <c r="P27" s="168"/>
      <c r="Q27" s="169"/>
      <c r="R27" s="168"/>
      <c r="S27" s="169"/>
    </row>
    <row r="28" spans="1:19">
      <c r="A28" s="7"/>
      <c r="B28" s="8"/>
      <c r="C28" s="11"/>
      <c r="D28" s="12"/>
      <c r="E28" s="93" t="s">
        <v>72</v>
      </c>
      <c r="F28" s="88">
        <f>VLOOKUP("Enlace Península-Baleares",Dat_01!$A$8:$J$30,2,FALSE)/1000</f>
        <v>-154.19043299999998</v>
      </c>
      <c r="G28" s="89">
        <f>VLOOKUP("Enlace Península-Baleares",Dat_01!$A$8:$J$30,4,FALSE)*100</f>
        <v>-9.8487789600000006</v>
      </c>
      <c r="H28" s="88">
        <f>VLOOKUP("Enlace Península-Baleares",Dat_01!$A$8:$J$30,5,FALSE)/1000</f>
        <v>-711.758059</v>
      </c>
      <c r="I28" s="89">
        <f>VLOOKUP("Enlace Península-Baleares",Dat_01!$A$8:$J$30,7,FALSE)*100</f>
        <v>8.4586396199999996</v>
      </c>
      <c r="J28" s="88">
        <f>VLOOKUP("Enlace Península-Baleares",Dat_01!$A$8:$J$30,8,FALSE)/1000</f>
        <v>-1591.347258</v>
      </c>
      <c r="K28" s="89">
        <f>VLOOKUP("Enlace Península-Baleares",Dat_01!$A$8:$J$30,10,FALSE)*100</f>
        <v>5.0121577899999998</v>
      </c>
      <c r="L28" s="19"/>
      <c r="M28" s="168"/>
      <c r="N28" s="168"/>
      <c r="O28" s="169"/>
      <c r="P28" s="168"/>
      <c r="Q28" s="169"/>
      <c r="R28" s="168"/>
      <c r="S28" s="169"/>
    </row>
    <row r="29" spans="1:19" ht="12.75" customHeight="1">
      <c r="E29" s="93" t="s">
        <v>73</v>
      </c>
      <c r="F29" s="94">
        <f>VLOOKUP("Saldos intercambios internacionales",Dat_01!$A$8:$J$30,2,FALSE)/1000</f>
        <v>-1623.4498640000002</v>
      </c>
      <c r="G29" s="95">
        <f>IF(OR(VLOOKUP("Saldos intercambios internacionales",Dat_01!$A$8:$J$30,3,FALSE)=0,AND(VLOOKUP("Saldos intercambios internacionales",Dat_01!$A$8:$J$30,3,FALSE)&lt;0,VLOOKUP("Saldos intercambios internacionales",Dat_01!$A$8:$J$30,2,FALSE)&gt;0),AND(VLOOKUP("Saldos intercambios internacionales",Dat_01!$A$8:$J$30,3,FALSE)&gt;0,VLOOKUP("Saldos intercambios internacionales",Dat_01!$A$8:$J$30,2,FALSE)&lt;0)),"-",VLOOKUP("Saldos intercambios internacionales",Dat_01!$A$8:$J$30,4,FALSE)*100)</f>
        <v>61.939924930000004</v>
      </c>
      <c r="H29" s="94">
        <f>VLOOKUP("Saldos intercambios internacionales",Dat_01!$A$8:$J$30,5,FALSE)/1000</f>
        <v>-7193.1870099999996</v>
      </c>
      <c r="I29" s="95">
        <f>IF(OR(VLOOKUP("Saldos intercambios internacionales",Dat_01!$A$8:$J$30,6,FALSE)=0,AND(VLOOKUP("Saldos intercambios internacionales",Dat_01!$A$8:$J$30,6,FALSE)&lt;0,VLOOKUP("Saldos intercambios internacionales",Dat_01!$A$8:$J$30,5,FALSE)&gt;0),AND(VLOOKUP("Saldos intercambios internacionales",Dat_01!$A$8:$J$30,6,FALSE)&gt;0,VLOOKUP("Saldos intercambios internacionales",Dat_01!$A$8:$J$30,5,FALSE)&lt;0)),"-",VLOOKUP("Saldos intercambios internacionales",Dat_01!$A$8:$J$30,7,FALSE)*100)</f>
        <v>4.2167383200000002</v>
      </c>
      <c r="J29" s="94">
        <f>VLOOKUP("Saldos intercambios internacionales",Dat_01!$A$8:$J$30,8,FALSE)/1000</f>
        <v>-13085.602693000001</v>
      </c>
      <c r="K29" s="95">
        <f>IF(OR(VLOOKUP("Saldos intercambios internacionales",Dat_01!$A$8:$J$30,9,FALSE)=0,AND(VLOOKUP("Saldos intercambios internacionales",Dat_01!$A$8:$J$30,9,FALSE)&lt;0,VLOOKUP("Saldos intercambios internacionales",Dat_01!$A$8:$J$30,8,FALSE)&gt;0),AND(VLOOKUP("Saldos intercambios internacionales",Dat_01!$A$8:$J$30,9,FALSE)&gt;0,VLOOKUP("Saldos intercambios internacionales",Dat_01!$A$8:$J$30,8,FALSE)&lt;0)),"-",VLOOKUP("Saldos intercambios internacionales",Dat_01!$A$8:$J$30,10,FALSE)*100)</f>
        <v>16.112129840000001</v>
      </c>
      <c r="L29" s="19"/>
      <c r="M29" s="168"/>
      <c r="N29" s="168"/>
      <c r="O29" s="169"/>
      <c r="P29" s="168"/>
      <c r="Q29" s="169"/>
      <c r="R29" s="168"/>
      <c r="S29" s="169"/>
    </row>
    <row r="30" spans="1:19" ht="16.350000000000001" customHeight="1">
      <c r="E30" s="96" t="s">
        <v>13</v>
      </c>
      <c r="F30" s="97">
        <f>VLOOKUP("Demanda transporte (b.c.)",Dat_01!$A$8:$J$30,2,FALSE)/1000</f>
        <v>20848.684767597999</v>
      </c>
      <c r="G30" s="98">
        <f>VLOOKUP("Demanda transporte (b.c.)",Dat_01!$A$8:$J$30,4,FALSE)*100</f>
        <v>1.73645943</v>
      </c>
      <c r="H30" s="97">
        <f>VLOOKUP("Demanda transporte (b.c.)",Dat_01!$A$8:$J$30,5,FALSE)/1000</f>
        <v>119981.275576115</v>
      </c>
      <c r="I30" s="98">
        <f>VLOOKUP("Demanda transporte (b.c.)",Dat_01!$A$8:$J$30,7,FALSE)*100</f>
        <v>1.7444383399999999</v>
      </c>
      <c r="J30" s="97">
        <f>VLOOKUP("Demanda transporte (b.c.)",Dat_01!$A$8:$J$30,8,FALSE)/1000</f>
        <v>242577.15987140199</v>
      </c>
      <c r="K30" s="98">
        <f>VLOOKUP("Demanda transporte (b.c.)",Dat_01!$A$8:$J$30,10,FALSE)*100</f>
        <v>2.3935996500000001</v>
      </c>
      <c r="L30" s="19"/>
    </row>
    <row r="31" spans="1:19" ht="16.350000000000001" customHeight="1">
      <c r="E31" s="325" t="s">
        <v>80</v>
      </c>
      <c r="F31" s="326"/>
      <c r="G31" s="326"/>
      <c r="H31" s="326"/>
      <c r="I31" s="326"/>
      <c r="J31" s="326"/>
      <c r="K31" s="326"/>
      <c r="L31" s="16"/>
      <c r="M31" s="323"/>
      <c r="N31" s="323"/>
      <c r="O31" s="323"/>
      <c r="P31" s="323"/>
      <c r="Q31" s="323"/>
      <c r="R31" s="323"/>
      <c r="S31" s="323"/>
    </row>
    <row r="32" spans="1:19" ht="12.75" customHeight="1">
      <c r="E32" s="323" t="s">
        <v>52</v>
      </c>
      <c r="F32" s="323"/>
      <c r="G32" s="323"/>
      <c r="H32" s="323"/>
      <c r="I32" s="323"/>
      <c r="J32" s="323"/>
      <c r="K32" s="323"/>
      <c r="L32" s="16"/>
    </row>
    <row r="33" spans="5:12" ht="12.75" customHeight="1">
      <c r="E33" s="323" t="s">
        <v>69</v>
      </c>
      <c r="F33" s="323"/>
      <c r="G33" s="323"/>
      <c r="H33" s="323"/>
      <c r="I33" s="323"/>
      <c r="J33" s="323"/>
      <c r="K33" s="323"/>
      <c r="L33" s="16"/>
    </row>
    <row r="34" spans="5:12" ht="12.75" customHeight="1">
      <c r="E34" s="323" t="s">
        <v>132</v>
      </c>
      <c r="F34" s="323"/>
      <c r="G34" s="323"/>
      <c r="H34" s="323"/>
      <c r="I34" s="323"/>
      <c r="J34" s="323"/>
      <c r="K34" s="323"/>
      <c r="L34" s="16"/>
    </row>
    <row r="35" spans="5:12" ht="12.75" customHeight="1">
      <c r="E35" s="323" t="s">
        <v>200</v>
      </c>
      <c r="F35" s="323"/>
      <c r="G35" s="323"/>
      <c r="H35" s="323"/>
      <c r="I35" s="323"/>
      <c r="J35" s="323"/>
      <c r="K35" s="323"/>
      <c r="L35" s="16"/>
    </row>
    <row r="36" spans="5:12" ht="12.75" customHeight="1">
      <c r="E36" s="324" t="s">
        <v>202</v>
      </c>
      <c r="F36" s="324"/>
      <c r="G36" s="324"/>
      <c r="H36" s="324"/>
      <c r="I36" s="324"/>
      <c r="J36" s="324"/>
      <c r="K36" s="324"/>
      <c r="L36" s="16"/>
    </row>
    <row r="37" spans="5:12" ht="12.75" customHeight="1">
      <c r="E37" s="324" t="s">
        <v>71</v>
      </c>
      <c r="F37" s="324"/>
      <c r="G37" s="324"/>
      <c r="H37" s="324"/>
      <c r="I37" s="324"/>
      <c r="J37" s="324"/>
      <c r="K37" s="324"/>
    </row>
    <row r="38" spans="5:12" ht="24" customHeight="1">
      <c r="E38" s="324" t="s">
        <v>76</v>
      </c>
      <c r="F38" s="324"/>
      <c r="G38" s="324"/>
      <c r="H38" s="324"/>
      <c r="I38" s="324"/>
      <c r="J38" s="324"/>
      <c r="K38" s="324"/>
    </row>
    <row r="39" spans="5:12">
      <c r="F39" s="220"/>
      <c r="G39" s="220"/>
      <c r="H39" s="220"/>
      <c r="I39" s="220"/>
      <c r="J39" s="220"/>
      <c r="K39" s="220"/>
    </row>
    <row r="40" spans="5:12">
      <c r="E40" s="21"/>
      <c r="F40" s="21"/>
    </row>
    <row r="41" spans="5:12">
      <c r="E41" s="21"/>
      <c r="F41" s="21"/>
    </row>
    <row r="42" spans="5:12">
      <c r="E42" s="21"/>
      <c r="F42" s="21"/>
    </row>
    <row r="43" spans="5:12">
      <c r="F43" s="21"/>
    </row>
    <row r="44" spans="5:12">
      <c r="E44" s="21"/>
      <c r="F44" s="23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49" spans="1:19">
      <c r="E49" s="21"/>
      <c r="F49" s="21"/>
    </row>
    <row r="50" spans="1:19">
      <c r="E50" s="21"/>
      <c r="F50" s="21"/>
    </row>
    <row r="51" spans="1:19">
      <c r="E51" s="21"/>
      <c r="F51" s="21"/>
    </row>
    <row r="53" spans="1:19" s="22" customFormat="1">
      <c r="A53" s="5"/>
      <c r="B53" s="5"/>
      <c r="C53" s="5"/>
      <c r="D53" s="5"/>
      <c r="E53" s="17"/>
      <c r="F53" s="17"/>
      <c r="G53" s="17"/>
      <c r="I53" s="17"/>
      <c r="K53" s="17"/>
      <c r="L53" s="17"/>
      <c r="M53" s="17"/>
      <c r="N53" s="17"/>
      <c r="O53" s="17"/>
      <c r="P53" s="17"/>
      <c r="Q53" s="17"/>
      <c r="R53" s="17"/>
      <c r="S53" s="17"/>
    </row>
  </sheetData>
  <mergeCells count="13">
    <mergeCell ref="C7:C8"/>
    <mergeCell ref="F7:G7"/>
    <mergeCell ref="H7:I7"/>
    <mergeCell ref="J7:K7"/>
    <mergeCell ref="E38:K38"/>
    <mergeCell ref="M31:S31"/>
    <mergeCell ref="E37:K37"/>
    <mergeCell ref="E32:K32"/>
    <mergeCell ref="E33:K33"/>
    <mergeCell ref="E34:K34"/>
    <mergeCell ref="E36:K36"/>
    <mergeCell ref="E31:K31"/>
    <mergeCell ref="E35:K35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VN876"/>
  <sheetViews>
    <sheetView zoomScale="80" zoomScaleNormal="80" workbookViewId="0">
      <selection activeCell="B156" sqref="B156"/>
    </sheetView>
  </sheetViews>
  <sheetFormatPr baseColWidth="10" defaultRowHeight="12.75"/>
  <cols>
    <col min="1" max="1" width="23.42578125" bestFit="1" customWidth="1"/>
    <col min="2" max="2" width="35.5703125" bestFit="1" customWidth="1"/>
    <col min="3" max="16" width="18.7109375" bestFit="1" customWidth="1"/>
    <col min="17" max="541" width="14.5703125" customWidth="1"/>
  </cols>
  <sheetData>
    <row r="1" spans="1:586" ht="12.6" customHeight="1">
      <c r="A1" s="163" t="s">
        <v>28</v>
      </c>
      <c r="B1" s="357" t="s">
        <v>217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 t="s">
        <v>218</v>
      </c>
      <c r="AV1" s="357"/>
      <c r="AW1" s="357"/>
      <c r="AX1" s="357"/>
      <c r="AY1" s="357"/>
      <c r="AZ1" s="357"/>
      <c r="BA1" s="357"/>
      <c r="BB1" s="357"/>
      <c r="BC1" s="357"/>
      <c r="BD1" s="357"/>
      <c r="BE1" s="357"/>
      <c r="BF1" s="357"/>
      <c r="BG1" s="357"/>
      <c r="BH1" s="357"/>
      <c r="BI1" s="357"/>
      <c r="BJ1" s="357"/>
      <c r="BK1" s="357"/>
      <c r="BL1" s="357"/>
      <c r="BM1" s="357"/>
      <c r="BN1" s="357"/>
      <c r="BO1" s="357"/>
      <c r="BP1" s="357"/>
      <c r="BQ1" s="357"/>
      <c r="BR1" s="357"/>
      <c r="BS1" s="357"/>
      <c r="BT1" s="357"/>
      <c r="BU1" s="357"/>
      <c r="BV1" s="357"/>
      <c r="BW1" s="357"/>
      <c r="BX1" s="357"/>
      <c r="BY1" s="357"/>
      <c r="BZ1" s="357"/>
      <c r="CA1" s="357"/>
      <c r="CB1" s="357"/>
      <c r="CC1" s="357"/>
      <c r="CD1" s="357"/>
      <c r="CE1" s="357"/>
      <c r="CF1" s="357"/>
      <c r="CG1" s="357"/>
      <c r="CH1" s="357"/>
      <c r="CI1" s="357"/>
      <c r="CJ1" s="357"/>
      <c r="CK1" s="357"/>
      <c r="CL1" s="357"/>
      <c r="CM1" s="357"/>
      <c r="CN1" s="357" t="s">
        <v>231</v>
      </c>
      <c r="CO1" s="357"/>
      <c r="CP1" s="357"/>
      <c r="CQ1" s="357"/>
      <c r="CR1" s="357"/>
      <c r="CS1" s="357"/>
      <c r="CT1" s="357"/>
      <c r="CU1" s="357"/>
      <c r="CV1" s="357"/>
      <c r="CW1" s="357"/>
      <c r="CX1" s="357"/>
      <c r="CY1" s="357"/>
      <c r="CZ1" s="357"/>
      <c r="DA1" s="357"/>
      <c r="DB1" s="357"/>
      <c r="DC1" s="357"/>
      <c r="DD1" s="357"/>
      <c r="DE1" s="357"/>
      <c r="DF1" s="357"/>
      <c r="DG1" s="357"/>
      <c r="DH1" s="357"/>
      <c r="DI1" s="357"/>
      <c r="DJ1" s="357"/>
      <c r="DK1" s="357"/>
      <c r="DL1" s="357"/>
      <c r="DM1" s="357"/>
      <c r="DN1" s="357"/>
      <c r="DO1" s="357"/>
      <c r="DP1" s="357"/>
      <c r="DQ1" s="357"/>
      <c r="DR1" s="357"/>
      <c r="DS1" s="357"/>
      <c r="DT1" s="357"/>
      <c r="DU1" s="357"/>
      <c r="DV1" s="357"/>
      <c r="DW1" s="357"/>
      <c r="DX1" s="357"/>
      <c r="DY1" s="357"/>
      <c r="DZ1" s="357"/>
      <c r="EA1" s="357"/>
      <c r="EB1" s="357"/>
      <c r="EC1" s="357"/>
      <c r="ED1" s="357"/>
      <c r="EE1" s="357"/>
      <c r="EF1" s="357"/>
      <c r="EG1" s="357" t="s">
        <v>233</v>
      </c>
      <c r="EH1" s="357"/>
      <c r="EI1" s="357"/>
      <c r="EJ1" s="357"/>
      <c r="EK1" s="357"/>
      <c r="EL1" s="357"/>
      <c r="EM1" s="357"/>
      <c r="EN1" s="357"/>
      <c r="EO1" s="357"/>
      <c r="EP1" s="357"/>
      <c r="EQ1" s="357"/>
      <c r="ER1" s="357"/>
      <c r="ES1" s="357"/>
      <c r="ET1" s="357"/>
      <c r="EU1" s="357"/>
      <c r="EV1" s="357"/>
      <c r="EW1" s="357"/>
      <c r="EX1" s="357"/>
      <c r="EY1" s="357"/>
      <c r="EZ1" s="357"/>
      <c r="FA1" s="357"/>
      <c r="FB1" s="357"/>
      <c r="FC1" s="357"/>
      <c r="FD1" s="357"/>
      <c r="FE1" s="357"/>
      <c r="FF1" s="357"/>
      <c r="FG1" s="357"/>
      <c r="FH1" s="357"/>
      <c r="FI1" s="357"/>
      <c r="FJ1" s="357"/>
      <c r="FK1" s="357"/>
      <c r="FL1" s="357"/>
      <c r="FM1" s="357"/>
      <c r="FN1" s="357"/>
      <c r="FO1" s="357"/>
      <c r="FP1" s="357"/>
      <c r="FQ1" s="357"/>
      <c r="FR1" s="357"/>
      <c r="FS1" s="357"/>
      <c r="FT1" s="357"/>
      <c r="FU1" s="357"/>
      <c r="FV1" s="357"/>
      <c r="FW1" s="357"/>
      <c r="FX1" s="357"/>
      <c r="FY1" s="357"/>
      <c r="FZ1" s="357" t="s">
        <v>235</v>
      </c>
      <c r="GA1" s="357"/>
      <c r="GB1" s="357"/>
      <c r="GC1" s="357"/>
      <c r="GD1" s="357"/>
      <c r="GE1" s="357"/>
      <c r="GF1" s="357"/>
      <c r="GG1" s="357"/>
      <c r="GH1" s="357"/>
      <c r="GI1" s="357"/>
      <c r="GJ1" s="357"/>
      <c r="GK1" s="357"/>
      <c r="GL1" s="357"/>
      <c r="GM1" s="357"/>
      <c r="GN1" s="357"/>
      <c r="GO1" s="357"/>
      <c r="GP1" s="357"/>
      <c r="GQ1" s="357"/>
      <c r="GR1" s="357"/>
      <c r="GS1" s="357"/>
      <c r="GT1" s="357"/>
      <c r="GU1" s="357"/>
      <c r="GV1" s="357"/>
      <c r="GW1" s="357"/>
      <c r="GX1" s="357"/>
      <c r="GY1" s="357"/>
      <c r="GZ1" s="357"/>
      <c r="HA1" s="357"/>
      <c r="HB1" s="357"/>
      <c r="HC1" s="357"/>
      <c r="HD1" s="357"/>
      <c r="HE1" s="357"/>
      <c r="HF1" s="357"/>
      <c r="HG1" s="357"/>
      <c r="HH1" s="357"/>
      <c r="HI1" s="357"/>
      <c r="HJ1" s="357"/>
      <c r="HK1" s="357"/>
      <c r="HL1" s="357"/>
      <c r="HM1" s="357"/>
      <c r="HN1" s="357"/>
      <c r="HO1" s="357"/>
      <c r="HP1" s="357"/>
      <c r="HQ1" s="357"/>
      <c r="HR1" s="357"/>
      <c r="HS1" s="357" t="s">
        <v>236</v>
      </c>
      <c r="HT1" s="357"/>
      <c r="HU1" s="357"/>
      <c r="HV1" s="357"/>
      <c r="HW1" s="357"/>
      <c r="HX1" s="357"/>
      <c r="HY1" s="357"/>
      <c r="HZ1" s="357"/>
      <c r="IA1" s="357"/>
      <c r="IB1" s="357"/>
      <c r="IC1" s="357"/>
      <c r="ID1" s="357"/>
      <c r="IE1" s="357"/>
      <c r="IF1" s="357"/>
      <c r="IG1" s="357"/>
      <c r="IH1" s="357"/>
      <c r="II1" s="357"/>
      <c r="IJ1" s="357"/>
      <c r="IK1" s="357"/>
      <c r="IL1" s="357"/>
      <c r="IM1" s="357"/>
      <c r="IN1" s="357"/>
      <c r="IO1" s="357"/>
      <c r="IP1" s="357"/>
      <c r="IQ1" s="357"/>
      <c r="IR1" s="357"/>
      <c r="IS1" s="357"/>
      <c r="IT1" s="357"/>
      <c r="IU1" s="357"/>
      <c r="IV1" s="357"/>
      <c r="IW1" s="357"/>
      <c r="IX1" s="357"/>
      <c r="IY1" s="357"/>
      <c r="IZ1" s="357"/>
      <c r="JA1" s="357"/>
      <c r="JB1" s="357"/>
      <c r="JC1" s="357"/>
      <c r="JD1" s="357"/>
      <c r="JE1" s="357"/>
      <c r="JF1" s="357"/>
      <c r="JG1" s="357"/>
      <c r="JH1" s="357"/>
      <c r="JI1" s="357"/>
      <c r="JJ1" s="357"/>
      <c r="JK1" s="357"/>
      <c r="JL1" s="357" t="s">
        <v>269</v>
      </c>
      <c r="JM1" s="357"/>
      <c r="JN1" s="357"/>
      <c r="JO1" s="357"/>
      <c r="JP1" s="357"/>
      <c r="JQ1" s="357"/>
      <c r="JR1" s="357"/>
      <c r="JS1" s="357"/>
      <c r="JT1" s="357"/>
      <c r="JU1" s="357"/>
      <c r="JV1" s="357"/>
      <c r="JW1" s="357"/>
      <c r="JX1" s="357"/>
      <c r="JY1" s="357"/>
      <c r="JZ1" s="357"/>
      <c r="KA1" s="357"/>
      <c r="KB1" s="357"/>
      <c r="KC1" s="357"/>
      <c r="KD1" s="357"/>
      <c r="KE1" s="357"/>
      <c r="KF1" s="357"/>
      <c r="KG1" s="357"/>
      <c r="KH1" s="357"/>
      <c r="KI1" s="357"/>
      <c r="KJ1" s="357"/>
      <c r="KK1" s="357"/>
      <c r="KL1" s="357"/>
      <c r="KM1" s="357"/>
      <c r="KN1" s="357"/>
      <c r="KO1" s="357"/>
      <c r="KP1" s="357"/>
      <c r="KQ1" s="357"/>
      <c r="KR1" s="357"/>
      <c r="KS1" s="357"/>
      <c r="KT1" s="357"/>
      <c r="KU1" s="357"/>
      <c r="KV1" s="357"/>
      <c r="KW1" s="357"/>
      <c r="KX1" s="357"/>
      <c r="KY1" s="357"/>
      <c r="KZ1" s="357"/>
      <c r="LA1" s="357"/>
      <c r="LB1" s="357"/>
      <c r="LC1" s="357"/>
      <c r="LD1" s="357"/>
      <c r="LE1" s="357" t="s">
        <v>273</v>
      </c>
      <c r="LF1" s="357"/>
      <c r="LG1" s="357"/>
      <c r="LH1" s="357"/>
      <c r="LI1" s="357"/>
      <c r="LJ1" s="357"/>
      <c r="LK1" s="357"/>
      <c r="LL1" s="357"/>
      <c r="LM1" s="357"/>
      <c r="LN1" s="357"/>
      <c r="LO1" s="357"/>
      <c r="LP1" s="357"/>
      <c r="LQ1" s="357"/>
      <c r="LR1" s="357"/>
      <c r="LS1" s="357"/>
      <c r="LT1" s="357"/>
      <c r="LU1" s="357"/>
      <c r="LV1" s="357"/>
      <c r="LW1" s="357"/>
      <c r="LX1" s="357"/>
      <c r="LY1" s="357"/>
      <c r="LZ1" s="357"/>
      <c r="MA1" s="357"/>
      <c r="MB1" s="357"/>
      <c r="MC1" s="357"/>
      <c r="MD1" s="357"/>
      <c r="ME1" s="357"/>
      <c r="MF1" s="357"/>
      <c r="MG1" s="357"/>
      <c r="MH1" s="357"/>
      <c r="MI1" s="357"/>
      <c r="MJ1" s="357"/>
      <c r="MK1" s="357"/>
      <c r="ML1" s="357"/>
      <c r="MM1" s="357"/>
      <c r="MN1" s="357"/>
      <c r="MO1" s="357"/>
      <c r="MP1" s="357"/>
      <c r="MQ1" s="357"/>
      <c r="MR1" s="357"/>
      <c r="MS1" s="357"/>
      <c r="MT1" s="357"/>
      <c r="MU1" s="357"/>
      <c r="MV1" s="357"/>
      <c r="MW1" s="357"/>
      <c r="MX1" s="357" t="s">
        <v>277</v>
      </c>
      <c r="MY1" s="357"/>
      <c r="MZ1" s="357"/>
      <c r="NA1" s="357"/>
      <c r="NB1" s="357"/>
      <c r="NC1" s="357"/>
      <c r="ND1" s="357"/>
      <c r="NE1" s="357"/>
      <c r="NF1" s="357"/>
      <c r="NG1" s="357"/>
      <c r="NH1" s="357"/>
      <c r="NI1" s="357"/>
      <c r="NJ1" s="357"/>
      <c r="NK1" s="357"/>
      <c r="NL1" s="357"/>
      <c r="NM1" s="357"/>
      <c r="NN1" s="357"/>
      <c r="NO1" s="357"/>
      <c r="NP1" s="357"/>
      <c r="NQ1" s="357"/>
      <c r="NR1" s="357"/>
      <c r="NS1" s="357"/>
      <c r="NT1" s="357"/>
      <c r="NU1" s="357"/>
      <c r="NV1" s="357"/>
      <c r="NW1" s="357"/>
      <c r="NX1" s="357"/>
      <c r="NY1" s="357"/>
      <c r="NZ1" s="357"/>
      <c r="OA1" s="357"/>
      <c r="OB1" s="357"/>
      <c r="OC1" s="357"/>
      <c r="OD1" s="357"/>
      <c r="OE1" s="357"/>
      <c r="OF1" s="357"/>
      <c r="OG1" s="357"/>
      <c r="OH1" s="357"/>
      <c r="OI1" s="357"/>
      <c r="OJ1" s="357"/>
      <c r="OK1" s="357"/>
      <c r="OL1" s="357"/>
      <c r="OM1" s="357"/>
      <c r="ON1" s="357"/>
      <c r="OO1" s="357"/>
      <c r="OP1" s="357"/>
      <c r="OQ1" s="357" t="s">
        <v>279</v>
      </c>
      <c r="OR1" s="357"/>
      <c r="OS1" s="357"/>
      <c r="OT1" s="357"/>
      <c r="OU1" s="357"/>
      <c r="OV1" s="357"/>
      <c r="OW1" s="357"/>
      <c r="OX1" s="357"/>
      <c r="OY1" s="357"/>
      <c r="OZ1" s="357"/>
      <c r="PA1" s="357"/>
      <c r="PB1" s="357"/>
      <c r="PC1" s="357"/>
      <c r="PD1" s="357"/>
      <c r="PE1" s="357"/>
      <c r="PF1" s="357"/>
      <c r="PG1" s="357"/>
      <c r="PH1" s="357"/>
      <c r="PI1" s="357"/>
      <c r="PJ1" s="357"/>
      <c r="PK1" s="357"/>
      <c r="PL1" s="357"/>
      <c r="PM1" s="357"/>
      <c r="PN1" s="357"/>
      <c r="PO1" s="357"/>
      <c r="PP1" s="357"/>
      <c r="PQ1" s="357"/>
      <c r="PR1" s="357"/>
      <c r="PS1" s="357"/>
      <c r="PT1" s="357"/>
      <c r="PU1" s="357"/>
      <c r="PV1" s="357"/>
      <c r="PW1" s="357"/>
      <c r="PX1" s="357"/>
      <c r="PY1" s="357"/>
      <c r="PZ1" s="357"/>
      <c r="QA1" s="357"/>
      <c r="QB1" s="357"/>
      <c r="QC1" s="357"/>
      <c r="QD1" s="357"/>
      <c r="QE1" s="357"/>
      <c r="QF1" s="357"/>
      <c r="QG1" s="357"/>
      <c r="QH1" s="357"/>
      <c r="QI1" s="357"/>
      <c r="QJ1" s="357" t="s">
        <v>281</v>
      </c>
      <c r="QK1" s="357"/>
      <c r="QL1" s="357"/>
      <c r="QM1" s="357"/>
      <c r="QN1" s="357"/>
      <c r="QO1" s="357"/>
      <c r="QP1" s="357"/>
      <c r="QQ1" s="357"/>
      <c r="QR1" s="357"/>
      <c r="QS1" s="357"/>
      <c r="QT1" s="357"/>
      <c r="QU1" s="357"/>
      <c r="QV1" s="357"/>
      <c r="QW1" s="357"/>
      <c r="QX1" s="357"/>
      <c r="QY1" s="357"/>
      <c r="QZ1" s="357"/>
      <c r="RA1" s="357"/>
      <c r="RB1" s="357"/>
      <c r="RC1" s="357"/>
      <c r="RD1" s="357"/>
      <c r="RE1" s="357"/>
      <c r="RF1" s="357"/>
      <c r="RG1" s="357"/>
      <c r="RH1" s="357"/>
      <c r="RI1" s="357"/>
      <c r="RJ1" s="357"/>
      <c r="RK1" s="357"/>
      <c r="RL1" s="357"/>
      <c r="RM1" s="357"/>
      <c r="RN1" s="357"/>
      <c r="RO1" s="357"/>
      <c r="RP1" s="357"/>
      <c r="RQ1" s="357"/>
      <c r="RR1" s="357"/>
      <c r="RS1" s="357"/>
      <c r="RT1" s="357"/>
      <c r="RU1" s="357"/>
      <c r="RV1" s="357"/>
      <c r="RW1" s="357"/>
      <c r="RX1" s="357"/>
      <c r="RY1" s="357"/>
      <c r="RZ1" s="357"/>
      <c r="SA1" s="357"/>
      <c r="SB1" s="357"/>
      <c r="SC1" s="357" t="s">
        <v>283</v>
      </c>
      <c r="SD1" s="357"/>
      <c r="SE1" s="357"/>
      <c r="SF1" s="357"/>
      <c r="SG1" s="357"/>
      <c r="SH1" s="357"/>
      <c r="SI1" s="357"/>
      <c r="SJ1" s="357"/>
      <c r="SK1" s="357"/>
      <c r="SL1" s="357"/>
      <c r="SM1" s="357"/>
      <c r="SN1" s="357"/>
      <c r="SO1" s="357"/>
      <c r="SP1" s="357"/>
      <c r="SQ1" s="357"/>
      <c r="SR1" s="357"/>
      <c r="SS1" s="357"/>
      <c r="ST1" s="357"/>
      <c r="SU1" s="357"/>
      <c r="SV1" s="357"/>
      <c r="SW1" s="357"/>
      <c r="SX1" s="357"/>
      <c r="SY1" s="357"/>
      <c r="SZ1" s="357"/>
      <c r="TA1" s="357"/>
      <c r="TB1" s="357"/>
      <c r="TC1" s="357"/>
      <c r="TD1" s="357"/>
      <c r="TE1" s="357"/>
      <c r="TF1" s="357"/>
      <c r="TG1" s="357"/>
      <c r="TH1" s="357"/>
      <c r="TI1" s="357"/>
      <c r="TJ1" s="357"/>
      <c r="TK1" s="357"/>
      <c r="TL1" s="357"/>
      <c r="TM1" s="357"/>
      <c r="TN1" s="357"/>
      <c r="TO1" s="357"/>
      <c r="TP1" s="357"/>
      <c r="TQ1" s="357"/>
      <c r="TR1" s="357"/>
      <c r="TS1" s="357"/>
      <c r="TT1" s="357"/>
      <c r="TU1" s="357"/>
      <c r="TV1" s="357" t="s">
        <v>287</v>
      </c>
      <c r="TW1" s="357"/>
      <c r="TX1" s="357"/>
      <c r="TY1" s="357"/>
      <c r="TZ1" s="357"/>
      <c r="UA1" s="357"/>
      <c r="UB1" s="357"/>
      <c r="UC1" s="357"/>
      <c r="UD1" s="357"/>
      <c r="UE1" s="357"/>
      <c r="UF1" s="357"/>
      <c r="UG1" s="357"/>
      <c r="UH1" s="357"/>
      <c r="UI1" s="357"/>
      <c r="UJ1" s="357"/>
      <c r="UK1" s="357"/>
      <c r="UL1" s="357"/>
      <c r="UM1" s="357"/>
      <c r="UN1" s="357"/>
      <c r="UO1" s="357"/>
      <c r="UP1" s="357"/>
      <c r="UQ1" s="357"/>
      <c r="UR1" s="357"/>
      <c r="US1" s="357"/>
      <c r="UT1" s="357"/>
      <c r="UU1" s="357"/>
      <c r="UV1" s="357"/>
      <c r="UW1" s="357"/>
      <c r="UX1" s="357"/>
      <c r="UY1" s="357"/>
      <c r="UZ1" s="357"/>
      <c r="VA1" s="357"/>
      <c r="VB1" s="357"/>
      <c r="VC1" s="357"/>
      <c r="VD1" s="357"/>
      <c r="VE1" s="357"/>
      <c r="VF1" s="357"/>
      <c r="VG1" s="357"/>
      <c r="VH1" s="357"/>
      <c r="VI1" s="357"/>
      <c r="VJ1" s="357"/>
      <c r="VK1" s="357"/>
      <c r="VL1" s="357"/>
      <c r="VM1" s="357"/>
      <c r="VN1" s="357"/>
    </row>
    <row r="2" spans="1:586">
      <c r="A2" s="163" t="s">
        <v>100</v>
      </c>
      <c r="B2" s="347" t="s">
        <v>93</v>
      </c>
      <c r="C2" s="348"/>
      <c r="D2" s="348"/>
      <c r="E2" s="348"/>
      <c r="F2" s="348"/>
      <c r="G2" s="348"/>
      <c r="H2" s="348"/>
      <c r="I2" s="348"/>
      <c r="J2" s="358"/>
      <c r="K2" s="347" t="s">
        <v>138</v>
      </c>
      <c r="L2" s="348"/>
      <c r="M2" s="348"/>
      <c r="N2" s="348"/>
      <c r="O2" s="348"/>
      <c r="P2" s="348"/>
      <c r="Q2" s="348"/>
      <c r="R2" s="348"/>
      <c r="S2" s="358"/>
      <c r="T2" s="347" t="s">
        <v>139</v>
      </c>
      <c r="U2" s="348"/>
      <c r="V2" s="348"/>
      <c r="W2" s="348"/>
      <c r="X2" s="348"/>
      <c r="Y2" s="348"/>
      <c r="Z2" s="348"/>
      <c r="AA2" s="348"/>
      <c r="AB2" s="358"/>
      <c r="AC2" s="347" t="s">
        <v>140</v>
      </c>
      <c r="AD2" s="348"/>
      <c r="AE2" s="348"/>
      <c r="AF2" s="348"/>
      <c r="AG2" s="348"/>
      <c r="AH2" s="348"/>
      <c r="AI2" s="348"/>
      <c r="AJ2" s="348"/>
      <c r="AK2" s="358"/>
      <c r="AL2" s="347" t="s">
        <v>141</v>
      </c>
      <c r="AM2" s="348"/>
      <c r="AN2" s="348"/>
      <c r="AO2" s="348"/>
      <c r="AP2" s="348"/>
      <c r="AQ2" s="348"/>
      <c r="AR2" s="348"/>
      <c r="AS2" s="348"/>
      <c r="AT2" s="358"/>
      <c r="AU2" s="355" t="s">
        <v>93</v>
      </c>
      <c r="AV2" s="355"/>
      <c r="AW2" s="355"/>
      <c r="AX2" s="355"/>
      <c r="AY2" s="355"/>
      <c r="AZ2" s="355"/>
      <c r="BA2" s="355"/>
      <c r="BB2" s="355"/>
      <c r="BC2" s="355"/>
      <c r="BD2" s="355" t="s">
        <v>138</v>
      </c>
      <c r="BE2" s="355"/>
      <c r="BF2" s="355"/>
      <c r="BG2" s="355"/>
      <c r="BH2" s="355"/>
      <c r="BI2" s="355"/>
      <c r="BJ2" s="355"/>
      <c r="BK2" s="355"/>
      <c r="BL2" s="355"/>
      <c r="BM2" s="355" t="s">
        <v>139</v>
      </c>
      <c r="BN2" s="355"/>
      <c r="BO2" s="355"/>
      <c r="BP2" s="355"/>
      <c r="BQ2" s="355"/>
      <c r="BR2" s="355"/>
      <c r="BS2" s="355"/>
      <c r="BT2" s="355"/>
      <c r="BU2" s="355"/>
      <c r="BV2" s="355" t="s">
        <v>140</v>
      </c>
      <c r="BW2" s="355"/>
      <c r="BX2" s="355"/>
      <c r="BY2" s="355"/>
      <c r="BZ2" s="355"/>
      <c r="CA2" s="355"/>
      <c r="CB2" s="355"/>
      <c r="CC2" s="355"/>
      <c r="CD2" s="355"/>
      <c r="CE2" s="356" t="s">
        <v>141</v>
      </c>
      <c r="CF2" s="356"/>
      <c r="CG2" s="356"/>
      <c r="CH2" s="356"/>
      <c r="CI2" s="356"/>
      <c r="CJ2" s="356"/>
      <c r="CK2" s="356"/>
      <c r="CL2" s="356"/>
      <c r="CM2" s="356"/>
      <c r="CN2" s="355" t="s">
        <v>93</v>
      </c>
      <c r="CO2" s="355"/>
      <c r="CP2" s="355"/>
      <c r="CQ2" s="355"/>
      <c r="CR2" s="355"/>
      <c r="CS2" s="355"/>
      <c r="CT2" s="355"/>
      <c r="CU2" s="355"/>
      <c r="CV2" s="355"/>
      <c r="CW2" s="355" t="s">
        <v>138</v>
      </c>
      <c r="CX2" s="355"/>
      <c r="CY2" s="355"/>
      <c r="CZ2" s="355"/>
      <c r="DA2" s="355"/>
      <c r="DB2" s="355"/>
      <c r="DC2" s="355"/>
      <c r="DD2" s="355"/>
      <c r="DE2" s="355"/>
      <c r="DF2" s="355" t="s">
        <v>139</v>
      </c>
      <c r="DG2" s="355"/>
      <c r="DH2" s="355"/>
      <c r="DI2" s="355"/>
      <c r="DJ2" s="355"/>
      <c r="DK2" s="355"/>
      <c r="DL2" s="355"/>
      <c r="DM2" s="355"/>
      <c r="DN2" s="355"/>
      <c r="DO2" s="355" t="s">
        <v>140</v>
      </c>
      <c r="DP2" s="355"/>
      <c r="DQ2" s="355"/>
      <c r="DR2" s="355"/>
      <c r="DS2" s="355"/>
      <c r="DT2" s="355"/>
      <c r="DU2" s="355"/>
      <c r="DV2" s="355"/>
      <c r="DW2" s="355"/>
      <c r="DX2" s="356" t="s">
        <v>141</v>
      </c>
      <c r="DY2" s="356"/>
      <c r="DZ2" s="356"/>
      <c r="EA2" s="356"/>
      <c r="EB2" s="356"/>
      <c r="EC2" s="356"/>
      <c r="ED2" s="356"/>
      <c r="EE2" s="356"/>
      <c r="EF2" s="356"/>
      <c r="EG2" s="355" t="s">
        <v>93</v>
      </c>
      <c r="EH2" s="355"/>
      <c r="EI2" s="355"/>
      <c r="EJ2" s="355"/>
      <c r="EK2" s="355"/>
      <c r="EL2" s="355"/>
      <c r="EM2" s="355"/>
      <c r="EN2" s="355"/>
      <c r="EO2" s="355"/>
      <c r="EP2" s="355" t="s">
        <v>138</v>
      </c>
      <c r="EQ2" s="355"/>
      <c r="ER2" s="355"/>
      <c r="ES2" s="355"/>
      <c r="ET2" s="355"/>
      <c r="EU2" s="355"/>
      <c r="EV2" s="355"/>
      <c r="EW2" s="355"/>
      <c r="EX2" s="355"/>
      <c r="EY2" s="355" t="s">
        <v>139</v>
      </c>
      <c r="EZ2" s="355"/>
      <c r="FA2" s="355"/>
      <c r="FB2" s="355"/>
      <c r="FC2" s="355"/>
      <c r="FD2" s="355"/>
      <c r="FE2" s="355"/>
      <c r="FF2" s="355"/>
      <c r="FG2" s="355"/>
      <c r="FH2" s="355" t="s">
        <v>140</v>
      </c>
      <c r="FI2" s="355"/>
      <c r="FJ2" s="355"/>
      <c r="FK2" s="355"/>
      <c r="FL2" s="355"/>
      <c r="FM2" s="355"/>
      <c r="FN2" s="355"/>
      <c r="FO2" s="355"/>
      <c r="FP2" s="355"/>
      <c r="FQ2" s="356" t="s">
        <v>141</v>
      </c>
      <c r="FR2" s="356"/>
      <c r="FS2" s="356"/>
      <c r="FT2" s="356"/>
      <c r="FU2" s="356"/>
      <c r="FV2" s="356"/>
      <c r="FW2" s="356"/>
      <c r="FX2" s="356"/>
      <c r="FY2" s="356"/>
      <c r="FZ2" s="355" t="s">
        <v>93</v>
      </c>
      <c r="GA2" s="355"/>
      <c r="GB2" s="355"/>
      <c r="GC2" s="355"/>
      <c r="GD2" s="355"/>
      <c r="GE2" s="355"/>
      <c r="GF2" s="355"/>
      <c r="GG2" s="355"/>
      <c r="GH2" s="355"/>
      <c r="GI2" s="355" t="s">
        <v>138</v>
      </c>
      <c r="GJ2" s="355"/>
      <c r="GK2" s="355"/>
      <c r="GL2" s="355"/>
      <c r="GM2" s="355"/>
      <c r="GN2" s="355"/>
      <c r="GO2" s="355"/>
      <c r="GP2" s="355"/>
      <c r="GQ2" s="355"/>
      <c r="GR2" s="355" t="s">
        <v>139</v>
      </c>
      <c r="GS2" s="355"/>
      <c r="GT2" s="355"/>
      <c r="GU2" s="355"/>
      <c r="GV2" s="355"/>
      <c r="GW2" s="355"/>
      <c r="GX2" s="355"/>
      <c r="GY2" s="355"/>
      <c r="GZ2" s="355"/>
      <c r="HA2" s="355" t="s">
        <v>140</v>
      </c>
      <c r="HB2" s="355"/>
      <c r="HC2" s="355"/>
      <c r="HD2" s="355"/>
      <c r="HE2" s="355"/>
      <c r="HF2" s="355"/>
      <c r="HG2" s="355"/>
      <c r="HH2" s="355"/>
      <c r="HI2" s="355"/>
      <c r="HJ2" s="356" t="s">
        <v>141</v>
      </c>
      <c r="HK2" s="356"/>
      <c r="HL2" s="356"/>
      <c r="HM2" s="356"/>
      <c r="HN2" s="356"/>
      <c r="HO2" s="356"/>
      <c r="HP2" s="356"/>
      <c r="HQ2" s="356"/>
      <c r="HR2" s="356"/>
      <c r="HS2" s="355" t="s">
        <v>93</v>
      </c>
      <c r="HT2" s="355"/>
      <c r="HU2" s="355"/>
      <c r="HV2" s="355"/>
      <c r="HW2" s="355"/>
      <c r="HX2" s="355"/>
      <c r="HY2" s="355"/>
      <c r="HZ2" s="355"/>
      <c r="IA2" s="355"/>
      <c r="IB2" s="355" t="s">
        <v>138</v>
      </c>
      <c r="IC2" s="355"/>
      <c r="ID2" s="355"/>
      <c r="IE2" s="355"/>
      <c r="IF2" s="355"/>
      <c r="IG2" s="355"/>
      <c r="IH2" s="355"/>
      <c r="II2" s="355"/>
      <c r="IJ2" s="355"/>
      <c r="IK2" s="355" t="s">
        <v>139</v>
      </c>
      <c r="IL2" s="355"/>
      <c r="IM2" s="355"/>
      <c r="IN2" s="355"/>
      <c r="IO2" s="355"/>
      <c r="IP2" s="355"/>
      <c r="IQ2" s="355"/>
      <c r="IR2" s="355"/>
      <c r="IS2" s="355"/>
      <c r="IT2" s="355" t="s">
        <v>140</v>
      </c>
      <c r="IU2" s="355"/>
      <c r="IV2" s="355"/>
      <c r="IW2" s="355"/>
      <c r="IX2" s="355"/>
      <c r="IY2" s="355"/>
      <c r="IZ2" s="355"/>
      <c r="JA2" s="355"/>
      <c r="JB2" s="355"/>
      <c r="JC2" s="356" t="s">
        <v>141</v>
      </c>
      <c r="JD2" s="356"/>
      <c r="JE2" s="356"/>
      <c r="JF2" s="356"/>
      <c r="JG2" s="356"/>
      <c r="JH2" s="356"/>
      <c r="JI2" s="356"/>
      <c r="JJ2" s="356"/>
      <c r="JK2" s="356"/>
      <c r="JL2" s="355" t="s">
        <v>93</v>
      </c>
      <c r="JM2" s="355"/>
      <c r="JN2" s="355"/>
      <c r="JO2" s="355"/>
      <c r="JP2" s="355"/>
      <c r="JQ2" s="355"/>
      <c r="JR2" s="355"/>
      <c r="JS2" s="355"/>
      <c r="JT2" s="355"/>
      <c r="JU2" s="355" t="s">
        <v>138</v>
      </c>
      <c r="JV2" s="355"/>
      <c r="JW2" s="355"/>
      <c r="JX2" s="355"/>
      <c r="JY2" s="355"/>
      <c r="JZ2" s="355"/>
      <c r="KA2" s="355"/>
      <c r="KB2" s="355"/>
      <c r="KC2" s="355"/>
      <c r="KD2" s="355" t="s">
        <v>139</v>
      </c>
      <c r="KE2" s="355"/>
      <c r="KF2" s="355"/>
      <c r="KG2" s="355"/>
      <c r="KH2" s="355"/>
      <c r="KI2" s="355"/>
      <c r="KJ2" s="355"/>
      <c r="KK2" s="355"/>
      <c r="KL2" s="355"/>
      <c r="KM2" s="355" t="s">
        <v>140</v>
      </c>
      <c r="KN2" s="355"/>
      <c r="KO2" s="355"/>
      <c r="KP2" s="355"/>
      <c r="KQ2" s="355"/>
      <c r="KR2" s="355"/>
      <c r="KS2" s="355"/>
      <c r="KT2" s="355"/>
      <c r="KU2" s="355"/>
      <c r="KV2" s="356" t="s">
        <v>141</v>
      </c>
      <c r="KW2" s="356"/>
      <c r="KX2" s="356"/>
      <c r="KY2" s="356"/>
      <c r="KZ2" s="356"/>
      <c r="LA2" s="356"/>
      <c r="LB2" s="356"/>
      <c r="LC2" s="356"/>
      <c r="LD2" s="356"/>
      <c r="LE2" s="355" t="s">
        <v>93</v>
      </c>
      <c r="LF2" s="355"/>
      <c r="LG2" s="355"/>
      <c r="LH2" s="355"/>
      <c r="LI2" s="355"/>
      <c r="LJ2" s="355"/>
      <c r="LK2" s="355"/>
      <c r="LL2" s="355"/>
      <c r="LM2" s="355"/>
      <c r="LN2" s="355" t="s">
        <v>138</v>
      </c>
      <c r="LO2" s="355"/>
      <c r="LP2" s="355"/>
      <c r="LQ2" s="355"/>
      <c r="LR2" s="355"/>
      <c r="LS2" s="355"/>
      <c r="LT2" s="355"/>
      <c r="LU2" s="355"/>
      <c r="LV2" s="355"/>
      <c r="LW2" s="355" t="s">
        <v>139</v>
      </c>
      <c r="LX2" s="355"/>
      <c r="LY2" s="355"/>
      <c r="LZ2" s="355"/>
      <c r="MA2" s="355"/>
      <c r="MB2" s="355"/>
      <c r="MC2" s="355"/>
      <c r="MD2" s="355"/>
      <c r="ME2" s="355"/>
      <c r="MF2" s="355" t="s">
        <v>140</v>
      </c>
      <c r="MG2" s="355"/>
      <c r="MH2" s="355"/>
      <c r="MI2" s="355"/>
      <c r="MJ2" s="355"/>
      <c r="MK2" s="355"/>
      <c r="ML2" s="355"/>
      <c r="MM2" s="355"/>
      <c r="MN2" s="355"/>
      <c r="MO2" s="356" t="s">
        <v>141</v>
      </c>
      <c r="MP2" s="356"/>
      <c r="MQ2" s="356"/>
      <c r="MR2" s="356"/>
      <c r="MS2" s="356"/>
      <c r="MT2" s="356"/>
      <c r="MU2" s="356"/>
      <c r="MV2" s="356"/>
      <c r="MW2" s="356"/>
      <c r="MX2" s="355" t="s">
        <v>93</v>
      </c>
      <c r="MY2" s="355"/>
      <c r="MZ2" s="355"/>
      <c r="NA2" s="355"/>
      <c r="NB2" s="355"/>
      <c r="NC2" s="355"/>
      <c r="ND2" s="355"/>
      <c r="NE2" s="355"/>
      <c r="NF2" s="355"/>
      <c r="NG2" s="355" t="s">
        <v>138</v>
      </c>
      <c r="NH2" s="355"/>
      <c r="NI2" s="355"/>
      <c r="NJ2" s="355"/>
      <c r="NK2" s="355"/>
      <c r="NL2" s="355"/>
      <c r="NM2" s="355"/>
      <c r="NN2" s="355"/>
      <c r="NO2" s="355"/>
      <c r="NP2" s="355" t="s">
        <v>139</v>
      </c>
      <c r="NQ2" s="355"/>
      <c r="NR2" s="355"/>
      <c r="NS2" s="355"/>
      <c r="NT2" s="355"/>
      <c r="NU2" s="355"/>
      <c r="NV2" s="355"/>
      <c r="NW2" s="355"/>
      <c r="NX2" s="355"/>
      <c r="NY2" s="355" t="s">
        <v>140</v>
      </c>
      <c r="NZ2" s="355"/>
      <c r="OA2" s="355"/>
      <c r="OB2" s="355"/>
      <c r="OC2" s="355"/>
      <c r="OD2" s="355"/>
      <c r="OE2" s="355"/>
      <c r="OF2" s="355"/>
      <c r="OG2" s="355"/>
      <c r="OH2" s="356" t="s">
        <v>141</v>
      </c>
      <c r="OI2" s="356"/>
      <c r="OJ2" s="356"/>
      <c r="OK2" s="356"/>
      <c r="OL2" s="356"/>
      <c r="OM2" s="356"/>
      <c r="ON2" s="356"/>
      <c r="OO2" s="356"/>
      <c r="OP2" s="356"/>
      <c r="OQ2" s="355" t="s">
        <v>93</v>
      </c>
      <c r="OR2" s="355"/>
      <c r="OS2" s="355"/>
      <c r="OT2" s="355"/>
      <c r="OU2" s="355"/>
      <c r="OV2" s="355"/>
      <c r="OW2" s="355"/>
      <c r="OX2" s="355"/>
      <c r="OY2" s="355"/>
      <c r="OZ2" s="355" t="s">
        <v>138</v>
      </c>
      <c r="PA2" s="355"/>
      <c r="PB2" s="355"/>
      <c r="PC2" s="355"/>
      <c r="PD2" s="355"/>
      <c r="PE2" s="355"/>
      <c r="PF2" s="355"/>
      <c r="PG2" s="355"/>
      <c r="PH2" s="355"/>
      <c r="PI2" s="355" t="s">
        <v>139</v>
      </c>
      <c r="PJ2" s="355"/>
      <c r="PK2" s="355"/>
      <c r="PL2" s="355"/>
      <c r="PM2" s="355"/>
      <c r="PN2" s="355"/>
      <c r="PO2" s="355"/>
      <c r="PP2" s="355"/>
      <c r="PQ2" s="355"/>
      <c r="PR2" s="355" t="s">
        <v>140</v>
      </c>
      <c r="PS2" s="355"/>
      <c r="PT2" s="355"/>
      <c r="PU2" s="355"/>
      <c r="PV2" s="355"/>
      <c r="PW2" s="355"/>
      <c r="PX2" s="355"/>
      <c r="PY2" s="355"/>
      <c r="PZ2" s="355"/>
      <c r="QA2" s="356" t="s">
        <v>141</v>
      </c>
      <c r="QB2" s="356"/>
      <c r="QC2" s="356"/>
      <c r="QD2" s="356"/>
      <c r="QE2" s="356"/>
      <c r="QF2" s="356"/>
      <c r="QG2" s="356"/>
      <c r="QH2" s="356"/>
      <c r="QI2" s="356"/>
      <c r="QJ2" s="355" t="s">
        <v>93</v>
      </c>
      <c r="QK2" s="355"/>
      <c r="QL2" s="355"/>
      <c r="QM2" s="355"/>
      <c r="QN2" s="355"/>
      <c r="QO2" s="355"/>
      <c r="QP2" s="355"/>
      <c r="QQ2" s="355"/>
      <c r="QR2" s="355"/>
      <c r="QS2" s="355" t="s">
        <v>138</v>
      </c>
      <c r="QT2" s="355"/>
      <c r="QU2" s="355"/>
      <c r="QV2" s="355"/>
      <c r="QW2" s="355"/>
      <c r="QX2" s="355"/>
      <c r="QY2" s="355"/>
      <c r="QZ2" s="355"/>
      <c r="RA2" s="355"/>
      <c r="RB2" s="355" t="s">
        <v>139</v>
      </c>
      <c r="RC2" s="355"/>
      <c r="RD2" s="355"/>
      <c r="RE2" s="355"/>
      <c r="RF2" s="355"/>
      <c r="RG2" s="355"/>
      <c r="RH2" s="355"/>
      <c r="RI2" s="355"/>
      <c r="RJ2" s="355"/>
      <c r="RK2" s="355" t="s">
        <v>140</v>
      </c>
      <c r="RL2" s="355"/>
      <c r="RM2" s="355"/>
      <c r="RN2" s="355"/>
      <c r="RO2" s="355"/>
      <c r="RP2" s="355"/>
      <c r="RQ2" s="355"/>
      <c r="RR2" s="355"/>
      <c r="RS2" s="355"/>
      <c r="RT2" s="356" t="s">
        <v>141</v>
      </c>
      <c r="RU2" s="356"/>
      <c r="RV2" s="356"/>
      <c r="RW2" s="356"/>
      <c r="RX2" s="356"/>
      <c r="RY2" s="356"/>
      <c r="RZ2" s="356"/>
      <c r="SA2" s="356"/>
      <c r="SB2" s="356"/>
      <c r="SC2" s="355" t="s">
        <v>93</v>
      </c>
      <c r="SD2" s="355"/>
      <c r="SE2" s="355"/>
      <c r="SF2" s="355"/>
      <c r="SG2" s="355"/>
      <c r="SH2" s="355"/>
      <c r="SI2" s="355"/>
      <c r="SJ2" s="355"/>
      <c r="SK2" s="355"/>
      <c r="SL2" s="355" t="s">
        <v>138</v>
      </c>
      <c r="SM2" s="355"/>
      <c r="SN2" s="355"/>
      <c r="SO2" s="355"/>
      <c r="SP2" s="355"/>
      <c r="SQ2" s="355"/>
      <c r="SR2" s="355"/>
      <c r="SS2" s="355"/>
      <c r="ST2" s="355"/>
      <c r="SU2" s="355" t="s">
        <v>139</v>
      </c>
      <c r="SV2" s="355"/>
      <c r="SW2" s="355"/>
      <c r="SX2" s="355"/>
      <c r="SY2" s="355"/>
      <c r="SZ2" s="355"/>
      <c r="TA2" s="355"/>
      <c r="TB2" s="355"/>
      <c r="TC2" s="355"/>
      <c r="TD2" s="355" t="s">
        <v>140</v>
      </c>
      <c r="TE2" s="355"/>
      <c r="TF2" s="355"/>
      <c r="TG2" s="355"/>
      <c r="TH2" s="355"/>
      <c r="TI2" s="355"/>
      <c r="TJ2" s="355"/>
      <c r="TK2" s="355"/>
      <c r="TL2" s="355"/>
      <c r="TM2" s="356" t="s">
        <v>141</v>
      </c>
      <c r="TN2" s="356"/>
      <c r="TO2" s="356"/>
      <c r="TP2" s="356"/>
      <c r="TQ2" s="356"/>
      <c r="TR2" s="356"/>
      <c r="TS2" s="356"/>
      <c r="TT2" s="356"/>
      <c r="TU2" s="356"/>
      <c r="TV2" s="355" t="s">
        <v>93</v>
      </c>
      <c r="TW2" s="355"/>
      <c r="TX2" s="355"/>
      <c r="TY2" s="355"/>
      <c r="TZ2" s="355"/>
      <c r="UA2" s="355"/>
      <c r="UB2" s="355"/>
      <c r="UC2" s="355"/>
      <c r="UD2" s="355"/>
      <c r="UE2" s="355" t="s">
        <v>138</v>
      </c>
      <c r="UF2" s="355"/>
      <c r="UG2" s="355"/>
      <c r="UH2" s="355"/>
      <c r="UI2" s="355"/>
      <c r="UJ2" s="355"/>
      <c r="UK2" s="355"/>
      <c r="UL2" s="355"/>
      <c r="UM2" s="355"/>
      <c r="UN2" s="355" t="s">
        <v>139</v>
      </c>
      <c r="UO2" s="355"/>
      <c r="UP2" s="355"/>
      <c r="UQ2" s="355"/>
      <c r="UR2" s="355"/>
      <c r="US2" s="355"/>
      <c r="UT2" s="355"/>
      <c r="UU2" s="355"/>
      <c r="UV2" s="355"/>
      <c r="UW2" s="355" t="s">
        <v>140</v>
      </c>
      <c r="UX2" s="355"/>
      <c r="UY2" s="355"/>
      <c r="UZ2" s="355"/>
      <c r="VA2" s="355"/>
      <c r="VB2" s="355"/>
      <c r="VC2" s="355"/>
      <c r="VD2" s="355"/>
      <c r="VE2" s="355"/>
      <c r="VF2" s="356" t="s">
        <v>141</v>
      </c>
      <c r="VG2" s="356"/>
      <c r="VH2" s="356"/>
      <c r="VI2" s="356"/>
      <c r="VJ2" s="356"/>
      <c r="VK2" s="356"/>
      <c r="VL2" s="356"/>
      <c r="VM2" s="356"/>
      <c r="VN2" s="356"/>
    </row>
    <row r="3" spans="1:586" ht="42">
      <c r="A3" s="163" t="s">
        <v>101</v>
      </c>
      <c r="B3" s="164" t="s">
        <v>94</v>
      </c>
      <c r="C3" s="164" t="s">
        <v>142</v>
      </c>
      <c r="D3" s="164" t="s">
        <v>95</v>
      </c>
      <c r="E3" s="164" t="s">
        <v>96</v>
      </c>
      <c r="F3" s="164" t="s">
        <v>143</v>
      </c>
      <c r="G3" s="164" t="s">
        <v>97</v>
      </c>
      <c r="H3" s="164" t="s">
        <v>98</v>
      </c>
      <c r="I3" s="164" t="s">
        <v>144</v>
      </c>
      <c r="J3" s="164" t="s">
        <v>99</v>
      </c>
      <c r="K3" s="164" t="s">
        <v>94</v>
      </c>
      <c r="L3" s="164" t="s">
        <v>142</v>
      </c>
      <c r="M3" s="164" t="s">
        <v>95</v>
      </c>
      <c r="N3" s="164" t="s">
        <v>96</v>
      </c>
      <c r="O3" s="164" t="s">
        <v>143</v>
      </c>
      <c r="P3" s="164" t="s">
        <v>97</v>
      </c>
      <c r="Q3" s="164" t="s">
        <v>98</v>
      </c>
      <c r="R3" s="164" t="s">
        <v>144</v>
      </c>
      <c r="S3" s="164" t="s">
        <v>99</v>
      </c>
      <c r="T3" s="164" t="s">
        <v>94</v>
      </c>
      <c r="U3" s="164" t="s">
        <v>142</v>
      </c>
      <c r="V3" s="164" t="s">
        <v>95</v>
      </c>
      <c r="W3" s="164" t="s">
        <v>96</v>
      </c>
      <c r="X3" s="164" t="s">
        <v>143</v>
      </c>
      <c r="Y3" s="164" t="s">
        <v>97</v>
      </c>
      <c r="Z3" s="164" t="s">
        <v>98</v>
      </c>
      <c r="AA3" s="164" t="s">
        <v>144</v>
      </c>
      <c r="AB3" s="164" t="s">
        <v>99</v>
      </c>
      <c r="AC3" s="164" t="s">
        <v>94</v>
      </c>
      <c r="AD3" s="164" t="s">
        <v>142</v>
      </c>
      <c r="AE3" s="164" t="s">
        <v>95</v>
      </c>
      <c r="AF3" s="164" t="s">
        <v>96</v>
      </c>
      <c r="AG3" s="164" t="s">
        <v>143</v>
      </c>
      <c r="AH3" s="164" t="s">
        <v>97</v>
      </c>
      <c r="AI3" s="164" t="s">
        <v>98</v>
      </c>
      <c r="AJ3" s="164" t="s">
        <v>144</v>
      </c>
      <c r="AK3" s="164" t="s">
        <v>99</v>
      </c>
      <c r="AL3" s="164" t="s">
        <v>94</v>
      </c>
      <c r="AM3" s="164" t="s">
        <v>142</v>
      </c>
      <c r="AN3" s="164" t="s">
        <v>95</v>
      </c>
      <c r="AO3" s="164" t="s">
        <v>96</v>
      </c>
      <c r="AP3" s="164" t="s">
        <v>143</v>
      </c>
      <c r="AQ3" s="164" t="s">
        <v>97</v>
      </c>
      <c r="AR3" s="164" t="s">
        <v>98</v>
      </c>
      <c r="AS3" s="164" t="s">
        <v>144</v>
      </c>
      <c r="AT3" s="164" t="s">
        <v>99</v>
      </c>
      <c r="AU3" s="254" t="s">
        <v>94</v>
      </c>
      <c r="AV3" s="254" t="s">
        <v>142</v>
      </c>
      <c r="AW3" s="254" t="s">
        <v>95</v>
      </c>
      <c r="AX3" s="254" t="s">
        <v>96</v>
      </c>
      <c r="AY3" s="254" t="s">
        <v>143</v>
      </c>
      <c r="AZ3" s="254" t="s">
        <v>97</v>
      </c>
      <c r="BA3" s="254" t="s">
        <v>98</v>
      </c>
      <c r="BB3" s="254" t="s">
        <v>144</v>
      </c>
      <c r="BC3" s="254" t="s">
        <v>99</v>
      </c>
      <c r="BD3" s="254" t="s">
        <v>94</v>
      </c>
      <c r="BE3" s="254" t="s">
        <v>142</v>
      </c>
      <c r="BF3" s="254" t="s">
        <v>95</v>
      </c>
      <c r="BG3" s="254" t="s">
        <v>96</v>
      </c>
      <c r="BH3" s="254" t="s">
        <v>143</v>
      </c>
      <c r="BI3" s="254" t="s">
        <v>97</v>
      </c>
      <c r="BJ3" s="254" t="s">
        <v>98</v>
      </c>
      <c r="BK3" s="254" t="s">
        <v>144</v>
      </c>
      <c r="BL3" s="254" t="s">
        <v>99</v>
      </c>
      <c r="BM3" s="254" t="s">
        <v>94</v>
      </c>
      <c r="BN3" s="254" t="s">
        <v>142</v>
      </c>
      <c r="BO3" s="254" t="s">
        <v>95</v>
      </c>
      <c r="BP3" s="254" t="s">
        <v>96</v>
      </c>
      <c r="BQ3" s="254" t="s">
        <v>143</v>
      </c>
      <c r="BR3" s="254" t="s">
        <v>97</v>
      </c>
      <c r="BS3" s="254" t="s">
        <v>98</v>
      </c>
      <c r="BT3" s="254" t="s">
        <v>144</v>
      </c>
      <c r="BU3" s="254" t="s">
        <v>99</v>
      </c>
      <c r="BV3" s="254" t="s">
        <v>94</v>
      </c>
      <c r="BW3" s="254" t="s">
        <v>142</v>
      </c>
      <c r="BX3" s="254" t="s">
        <v>95</v>
      </c>
      <c r="BY3" s="254" t="s">
        <v>96</v>
      </c>
      <c r="BZ3" s="254" t="s">
        <v>143</v>
      </c>
      <c r="CA3" s="254" t="s">
        <v>97</v>
      </c>
      <c r="CB3" s="254" t="s">
        <v>98</v>
      </c>
      <c r="CC3" s="254" t="s">
        <v>144</v>
      </c>
      <c r="CD3" s="254" t="s">
        <v>99</v>
      </c>
      <c r="CE3" s="254" t="s">
        <v>94</v>
      </c>
      <c r="CF3" s="254" t="s">
        <v>142</v>
      </c>
      <c r="CG3" s="254" t="s">
        <v>95</v>
      </c>
      <c r="CH3" s="254" t="s">
        <v>96</v>
      </c>
      <c r="CI3" s="254" t="s">
        <v>143</v>
      </c>
      <c r="CJ3" s="254" t="s">
        <v>97</v>
      </c>
      <c r="CK3" s="254" t="s">
        <v>98</v>
      </c>
      <c r="CL3" s="254" t="s">
        <v>144</v>
      </c>
      <c r="CM3" s="255" t="s">
        <v>99</v>
      </c>
      <c r="CN3" s="254" t="s">
        <v>94</v>
      </c>
      <c r="CO3" s="254" t="s">
        <v>142</v>
      </c>
      <c r="CP3" s="254" t="s">
        <v>95</v>
      </c>
      <c r="CQ3" s="254" t="s">
        <v>96</v>
      </c>
      <c r="CR3" s="254" t="s">
        <v>143</v>
      </c>
      <c r="CS3" s="254" t="s">
        <v>97</v>
      </c>
      <c r="CT3" s="254" t="s">
        <v>98</v>
      </c>
      <c r="CU3" s="254" t="s">
        <v>144</v>
      </c>
      <c r="CV3" s="254" t="s">
        <v>99</v>
      </c>
      <c r="CW3" s="254" t="s">
        <v>94</v>
      </c>
      <c r="CX3" s="254" t="s">
        <v>142</v>
      </c>
      <c r="CY3" s="254" t="s">
        <v>95</v>
      </c>
      <c r="CZ3" s="254" t="s">
        <v>96</v>
      </c>
      <c r="DA3" s="254" t="s">
        <v>143</v>
      </c>
      <c r="DB3" s="254" t="s">
        <v>97</v>
      </c>
      <c r="DC3" s="254" t="s">
        <v>98</v>
      </c>
      <c r="DD3" s="254" t="s">
        <v>144</v>
      </c>
      <c r="DE3" s="254" t="s">
        <v>99</v>
      </c>
      <c r="DF3" s="254" t="s">
        <v>94</v>
      </c>
      <c r="DG3" s="254" t="s">
        <v>142</v>
      </c>
      <c r="DH3" s="254" t="s">
        <v>95</v>
      </c>
      <c r="DI3" s="254" t="s">
        <v>96</v>
      </c>
      <c r="DJ3" s="254" t="s">
        <v>143</v>
      </c>
      <c r="DK3" s="254" t="s">
        <v>97</v>
      </c>
      <c r="DL3" s="254" t="s">
        <v>98</v>
      </c>
      <c r="DM3" s="254" t="s">
        <v>144</v>
      </c>
      <c r="DN3" s="254" t="s">
        <v>99</v>
      </c>
      <c r="DO3" s="254" t="s">
        <v>94</v>
      </c>
      <c r="DP3" s="254" t="s">
        <v>142</v>
      </c>
      <c r="DQ3" s="254" t="s">
        <v>95</v>
      </c>
      <c r="DR3" s="254" t="s">
        <v>96</v>
      </c>
      <c r="DS3" s="254" t="s">
        <v>143</v>
      </c>
      <c r="DT3" s="254" t="s">
        <v>97</v>
      </c>
      <c r="DU3" s="254" t="s">
        <v>98</v>
      </c>
      <c r="DV3" s="254" t="s">
        <v>144</v>
      </c>
      <c r="DW3" s="254" t="s">
        <v>99</v>
      </c>
      <c r="DX3" s="254" t="s">
        <v>94</v>
      </c>
      <c r="DY3" s="254" t="s">
        <v>142</v>
      </c>
      <c r="DZ3" s="254" t="s">
        <v>95</v>
      </c>
      <c r="EA3" s="254" t="s">
        <v>96</v>
      </c>
      <c r="EB3" s="254" t="s">
        <v>143</v>
      </c>
      <c r="EC3" s="254" t="s">
        <v>97</v>
      </c>
      <c r="ED3" s="254" t="s">
        <v>98</v>
      </c>
      <c r="EE3" s="254" t="s">
        <v>144</v>
      </c>
      <c r="EF3" s="255" t="s">
        <v>99</v>
      </c>
      <c r="EG3" s="254" t="s">
        <v>94</v>
      </c>
      <c r="EH3" s="254" t="s">
        <v>142</v>
      </c>
      <c r="EI3" s="254" t="s">
        <v>95</v>
      </c>
      <c r="EJ3" s="254" t="s">
        <v>96</v>
      </c>
      <c r="EK3" s="254" t="s">
        <v>143</v>
      </c>
      <c r="EL3" s="254" t="s">
        <v>97</v>
      </c>
      <c r="EM3" s="254" t="s">
        <v>98</v>
      </c>
      <c r="EN3" s="254" t="s">
        <v>144</v>
      </c>
      <c r="EO3" s="254" t="s">
        <v>99</v>
      </c>
      <c r="EP3" s="254" t="s">
        <v>94</v>
      </c>
      <c r="EQ3" s="254" t="s">
        <v>142</v>
      </c>
      <c r="ER3" s="254" t="s">
        <v>95</v>
      </c>
      <c r="ES3" s="254" t="s">
        <v>96</v>
      </c>
      <c r="ET3" s="254" t="s">
        <v>143</v>
      </c>
      <c r="EU3" s="254" t="s">
        <v>97</v>
      </c>
      <c r="EV3" s="254" t="s">
        <v>98</v>
      </c>
      <c r="EW3" s="254" t="s">
        <v>144</v>
      </c>
      <c r="EX3" s="254" t="s">
        <v>99</v>
      </c>
      <c r="EY3" s="254" t="s">
        <v>94</v>
      </c>
      <c r="EZ3" s="254" t="s">
        <v>142</v>
      </c>
      <c r="FA3" s="254" t="s">
        <v>95</v>
      </c>
      <c r="FB3" s="254" t="s">
        <v>96</v>
      </c>
      <c r="FC3" s="254" t="s">
        <v>143</v>
      </c>
      <c r="FD3" s="254" t="s">
        <v>97</v>
      </c>
      <c r="FE3" s="254" t="s">
        <v>98</v>
      </c>
      <c r="FF3" s="254" t="s">
        <v>144</v>
      </c>
      <c r="FG3" s="254" t="s">
        <v>99</v>
      </c>
      <c r="FH3" s="254" t="s">
        <v>94</v>
      </c>
      <c r="FI3" s="254" t="s">
        <v>142</v>
      </c>
      <c r="FJ3" s="254" t="s">
        <v>95</v>
      </c>
      <c r="FK3" s="254" t="s">
        <v>96</v>
      </c>
      <c r="FL3" s="254" t="s">
        <v>143</v>
      </c>
      <c r="FM3" s="254" t="s">
        <v>97</v>
      </c>
      <c r="FN3" s="254" t="s">
        <v>98</v>
      </c>
      <c r="FO3" s="254" t="s">
        <v>144</v>
      </c>
      <c r="FP3" s="254" t="s">
        <v>99</v>
      </c>
      <c r="FQ3" s="254" t="s">
        <v>94</v>
      </c>
      <c r="FR3" s="254" t="s">
        <v>142</v>
      </c>
      <c r="FS3" s="254" t="s">
        <v>95</v>
      </c>
      <c r="FT3" s="254" t="s">
        <v>96</v>
      </c>
      <c r="FU3" s="254" t="s">
        <v>143</v>
      </c>
      <c r="FV3" s="254" t="s">
        <v>97</v>
      </c>
      <c r="FW3" s="254" t="s">
        <v>98</v>
      </c>
      <c r="FX3" s="254" t="s">
        <v>144</v>
      </c>
      <c r="FY3" s="255" t="s">
        <v>99</v>
      </c>
      <c r="FZ3" s="254" t="s">
        <v>94</v>
      </c>
      <c r="GA3" s="254" t="s">
        <v>142</v>
      </c>
      <c r="GB3" s="254" t="s">
        <v>95</v>
      </c>
      <c r="GC3" s="254" t="s">
        <v>96</v>
      </c>
      <c r="GD3" s="254" t="s">
        <v>143</v>
      </c>
      <c r="GE3" s="254" t="s">
        <v>97</v>
      </c>
      <c r="GF3" s="254" t="s">
        <v>98</v>
      </c>
      <c r="GG3" s="254" t="s">
        <v>144</v>
      </c>
      <c r="GH3" s="254" t="s">
        <v>99</v>
      </c>
      <c r="GI3" s="254" t="s">
        <v>94</v>
      </c>
      <c r="GJ3" s="254" t="s">
        <v>142</v>
      </c>
      <c r="GK3" s="254" t="s">
        <v>95</v>
      </c>
      <c r="GL3" s="254" t="s">
        <v>96</v>
      </c>
      <c r="GM3" s="254" t="s">
        <v>143</v>
      </c>
      <c r="GN3" s="254" t="s">
        <v>97</v>
      </c>
      <c r="GO3" s="254" t="s">
        <v>98</v>
      </c>
      <c r="GP3" s="254" t="s">
        <v>144</v>
      </c>
      <c r="GQ3" s="254" t="s">
        <v>99</v>
      </c>
      <c r="GR3" s="254" t="s">
        <v>94</v>
      </c>
      <c r="GS3" s="254" t="s">
        <v>142</v>
      </c>
      <c r="GT3" s="254" t="s">
        <v>95</v>
      </c>
      <c r="GU3" s="254" t="s">
        <v>96</v>
      </c>
      <c r="GV3" s="254" t="s">
        <v>143</v>
      </c>
      <c r="GW3" s="254" t="s">
        <v>97</v>
      </c>
      <c r="GX3" s="254" t="s">
        <v>98</v>
      </c>
      <c r="GY3" s="254" t="s">
        <v>144</v>
      </c>
      <c r="GZ3" s="254" t="s">
        <v>99</v>
      </c>
      <c r="HA3" s="254" t="s">
        <v>94</v>
      </c>
      <c r="HB3" s="254" t="s">
        <v>142</v>
      </c>
      <c r="HC3" s="254" t="s">
        <v>95</v>
      </c>
      <c r="HD3" s="254" t="s">
        <v>96</v>
      </c>
      <c r="HE3" s="254" t="s">
        <v>143</v>
      </c>
      <c r="HF3" s="254" t="s">
        <v>97</v>
      </c>
      <c r="HG3" s="254" t="s">
        <v>98</v>
      </c>
      <c r="HH3" s="254" t="s">
        <v>144</v>
      </c>
      <c r="HI3" s="254" t="s">
        <v>99</v>
      </c>
      <c r="HJ3" s="254" t="s">
        <v>94</v>
      </c>
      <c r="HK3" s="254" t="s">
        <v>142</v>
      </c>
      <c r="HL3" s="254" t="s">
        <v>95</v>
      </c>
      <c r="HM3" s="254" t="s">
        <v>96</v>
      </c>
      <c r="HN3" s="254" t="s">
        <v>143</v>
      </c>
      <c r="HO3" s="254" t="s">
        <v>97</v>
      </c>
      <c r="HP3" s="254" t="s">
        <v>98</v>
      </c>
      <c r="HQ3" s="254" t="s">
        <v>144</v>
      </c>
      <c r="HR3" s="255" t="s">
        <v>99</v>
      </c>
      <c r="HS3" s="254" t="s">
        <v>94</v>
      </c>
      <c r="HT3" s="254" t="s">
        <v>142</v>
      </c>
      <c r="HU3" s="254" t="s">
        <v>95</v>
      </c>
      <c r="HV3" s="254" t="s">
        <v>96</v>
      </c>
      <c r="HW3" s="254" t="s">
        <v>143</v>
      </c>
      <c r="HX3" s="254" t="s">
        <v>97</v>
      </c>
      <c r="HY3" s="254" t="s">
        <v>98</v>
      </c>
      <c r="HZ3" s="254" t="s">
        <v>144</v>
      </c>
      <c r="IA3" s="254" t="s">
        <v>99</v>
      </c>
      <c r="IB3" s="254" t="s">
        <v>94</v>
      </c>
      <c r="IC3" s="254" t="s">
        <v>142</v>
      </c>
      <c r="ID3" s="254" t="s">
        <v>95</v>
      </c>
      <c r="IE3" s="254" t="s">
        <v>96</v>
      </c>
      <c r="IF3" s="254" t="s">
        <v>143</v>
      </c>
      <c r="IG3" s="254" t="s">
        <v>97</v>
      </c>
      <c r="IH3" s="254" t="s">
        <v>98</v>
      </c>
      <c r="II3" s="254" t="s">
        <v>144</v>
      </c>
      <c r="IJ3" s="254" t="s">
        <v>99</v>
      </c>
      <c r="IK3" s="254" t="s">
        <v>94</v>
      </c>
      <c r="IL3" s="254" t="s">
        <v>142</v>
      </c>
      <c r="IM3" s="254" t="s">
        <v>95</v>
      </c>
      <c r="IN3" s="254" t="s">
        <v>96</v>
      </c>
      <c r="IO3" s="254" t="s">
        <v>143</v>
      </c>
      <c r="IP3" s="254" t="s">
        <v>97</v>
      </c>
      <c r="IQ3" s="254" t="s">
        <v>98</v>
      </c>
      <c r="IR3" s="254" t="s">
        <v>144</v>
      </c>
      <c r="IS3" s="254" t="s">
        <v>99</v>
      </c>
      <c r="IT3" s="254" t="s">
        <v>94</v>
      </c>
      <c r="IU3" s="254" t="s">
        <v>142</v>
      </c>
      <c r="IV3" s="254" t="s">
        <v>95</v>
      </c>
      <c r="IW3" s="254" t="s">
        <v>96</v>
      </c>
      <c r="IX3" s="254" t="s">
        <v>143</v>
      </c>
      <c r="IY3" s="254" t="s">
        <v>97</v>
      </c>
      <c r="IZ3" s="254" t="s">
        <v>98</v>
      </c>
      <c r="JA3" s="254" t="s">
        <v>144</v>
      </c>
      <c r="JB3" s="254" t="s">
        <v>99</v>
      </c>
      <c r="JC3" s="254" t="s">
        <v>94</v>
      </c>
      <c r="JD3" s="254" t="s">
        <v>142</v>
      </c>
      <c r="JE3" s="254" t="s">
        <v>95</v>
      </c>
      <c r="JF3" s="254" t="s">
        <v>96</v>
      </c>
      <c r="JG3" s="254" t="s">
        <v>143</v>
      </c>
      <c r="JH3" s="254" t="s">
        <v>97</v>
      </c>
      <c r="JI3" s="254" t="s">
        <v>98</v>
      </c>
      <c r="JJ3" s="254" t="s">
        <v>144</v>
      </c>
      <c r="JK3" s="255" t="s">
        <v>99</v>
      </c>
      <c r="JL3" s="254" t="s">
        <v>94</v>
      </c>
      <c r="JM3" s="254" t="s">
        <v>142</v>
      </c>
      <c r="JN3" s="254" t="s">
        <v>95</v>
      </c>
      <c r="JO3" s="254" t="s">
        <v>96</v>
      </c>
      <c r="JP3" s="254" t="s">
        <v>143</v>
      </c>
      <c r="JQ3" s="254" t="s">
        <v>97</v>
      </c>
      <c r="JR3" s="254" t="s">
        <v>98</v>
      </c>
      <c r="JS3" s="254" t="s">
        <v>144</v>
      </c>
      <c r="JT3" s="254" t="s">
        <v>99</v>
      </c>
      <c r="JU3" s="254" t="s">
        <v>94</v>
      </c>
      <c r="JV3" s="254" t="s">
        <v>142</v>
      </c>
      <c r="JW3" s="254" t="s">
        <v>95</v>
      </c>
      <c r="JX3" s="254" t="s">
        <v>96</v>
      </c>
      <c r="JY3" s="254" t="s">
        <v>143</v>
      </c>
      <c r="JZ3" s="254" t="s">
        <v>97</v>
      </c>
      <c r="KA3" s="254" t="s">
        <v>98</v>
      </c>
      <c r="KB3" s="254" t="s">
        <v>144</v>
      </c>
      <c r="KC3" s="254" t="s">
        <v>99</v>
      </c>
      <c r="KD3" s="254" t="s">
        <v>94</v>
      </c>
      <c r="KE3" s="254" t="s">
        <v>142</v>
      </c>
      <c r="KF3" s="254" t="s">
        <v>95</v>
      </c>
      <c r="KG3" s="254" t="s">
        <v>96</v>
      </c>
      <c r="KH3" s="254" t="s">
        <v>143</v>
      </c>
      <c r="KI3" s="254" t="s">
        <v>97</v>
      </c>
      <c r="KJ3" s="254" t="s">
        <v>98</v>
      </c>
      <c r="KK3" s="254" t="s">
        <v>144</v>
      </c>
      <c r="KL3" s="254" t="s">
        <v>99</v>
      </c>
      <c r="KM3" s="254" t="s">
        <v>94</v>
      </c>
      <c r="KN3" s="254" t="s">
        <v>142</v>
      </c>
      <c r="KO3" s="254" t="s">
        <v>95</v>
      </c>
      <c r="KP3" s="254" t="s">
        <v>96</v>
      </c>
      <c r="KQ3" s="254" t="s">
        <v>143</v>
      </c>
      <c r="KR3" s="254" t="s">
        <v>97</v>
      </c>
      <c r="KS3" s="254" t="s">
        <v>98</v>
      </c>
      <c r="KT3" s="254" t="s">
        <v>144</v>
      </c>
      <c r="KU3" s="254" t="s">
        <v>99</v>
      </c>
      <c r="KV3" s="254" t="s">
        <v>94</v>
      </c>
      <c r="KW3" s="254" t="s">
        <v>142</v>
      </c>
      <c r="KX3" s="254" t="s">
        <v>95</v>
      </c>
      <c r="KY3" s="254" t="s">
        <v>96</v>
      </c>
      <c r="KZ3" s="254" t="s">
        <v>143</v>
      </c>
      <c r="LA3" s="254" t="s">
        <v>97</v>
      </c>
      <c r="LB3" s="254" t="s">
        <v>98</v>
      </c>
      <c r="LC3" s="254" t="s">
        <v>144</v>
      </c>
      <c r="LD3" s="255" t="s">
        <v>99</v>
      </c>
      <c r="LE3" s="254" t="s">
        <v>94</v>
      </c>
      <c r="LF3" s="254" t="s">
        <v>142</v>
      </c>
      <c r="LG3" s="254" t="s">
        <v>95</v>
      </c>
      <c r="LH3" s="254" t="s">
        <v>96</v>
      </c>
      <c r="LI3" s="254" t="s">
        <v>143</v>
      </c>
      <c r="LJ3" s="254" t="s">
        <v>97</v>
      </c>
      <c r="LK3" s="254" t="s">
        <v>98</v>
      </c>
      <c r="LL3" s="254" t="s">
        <v>144</v>
      </c>
      <c r="LM3" s="254" t="s">
        <v>99</v>
      </c>
      <c r="LN3" s="254" t="s">
        <v>94</v>
      </c>
      <c r="LO3" s="254" t="s">
        <v>142</v>
      </c>
      <c r="LP3" s="254" t="s">
        <v>95</v>
      </c>
      <c r="LQ3" s="254" t="s">
        <v>96</v>
      </c>
      <c r="LR3" s="254" t="s">
        <v>143</v>
      </c>
      <c r="LS3" s="254" t="s">
        <v>97</v>
      </c>
      <c r="LT3" s="254" t="s">
        <v>98</v>
      </c>
      <c r="LU3" s="254" t="s">
        <v>144</v>
      </c>
      <c r="LV3" s="254" t="s">
        <v>99</v>
      </c>
      <c r="LW3" s="254" t="s">
        <v>94</v>
      </c>
      <c r="LX3" s="254" t="s">
        <v>142</v>
      </c>
      <c r="LY3" s="254" t="s">
        <v>95</v>
      </c>
      <c r="LZ3" s="254" t="s">
        <v>96</v>
      </c>
      <c r="MA3" s="254" t="s">
        <v>143</v>
      </c>
      <c r="MB3" s="254" t="s">
        <v>97</v>
      </c>
      <c r="MC3" s="254" t="s">
        <v>98</v>
      </c>
      <c r="MD3" s="254" t="s">
        <v>144</v>
      </c>
      <c r="ME3" s="254" t="s">
        <v>99</v>
      </c>
      <c r="MF3" s="254" t="s">
        <v>94</v>
      </c>
      <c r="MG3" s="254" t="s">
        <v>142</v>
      </c>
      <c r="MH3" s="254" t="s">
        <v>95</v>
      </c>
      <c r="MI3" s="254" t="s">
        <v>96</v>
      </c>
      <c r="MJ3" s="254" t="s">
        <v>143</v>
      </c>
      <c r="MK3" s="254" t="s">
        <v>97</v>
      </c>
      <c r="ML3" s="254" t="s">
        <v>98</v>
      </c>
      <c r="MM3" s="254" t="s">
        <v>144</v>
      </c>
      <c r="MN3" s="254" t="s">
        <v>99</v>
      </c>
      <c r="MO3" s="254" t="s">
        <v>94</v>
      </c>
      <c r="MP3" s="254" t="s">
        <v>142</v>
      </c>
      <c r="MQ3" s="254" t="s">
        <v>95</v>
      </c>
      <c r="MR3" s="254" t="s">
        <v>96</v>
      </c>
      <c r="MS3" s="254" t="s">
        <v>143</v>
      </c>
      <c r="MT3" s="254" t="s">
        <v>97</v>
      </c>
      <c r="MU3" s="254" t="s">
        <v>98</v>
      </c>
      <c r="MV3" s="254" t="s">
        <v>144</v>
      </c>
      <c r="MW3" s="255" t="s">
        <v>99</v>
      </c>
      <c r="MX3" s="254" t="s">
        <v>94</v>
      </c>
      <c r="MY3" s="254" t="s">
        <v>142</v>
      </c>
      <c r="MZ3" s="254" t="s">
        <v>95</v>
      </c>
      <c r="NA3" s="254" t="s">
        <v>96</v>
      </c>
      <c r="NB3" s="254" t="s">
        <v>143</v>
      </c>
      <c r="NC3" s="254" t="s">
        <v>97</v>
      </c>
      <c r="ND3" s="254" t="s">
        <v>98</v>
      </c>
      <c r="NE3" s="254" t="s">
        <v>144</v>
      </c>
      <c r="NF3" s="254" t="s">
        <v>99</v>
      </c>
      <c r="NG3" s="254" t="s">
        <v>94</v>
      </c>
      <c r="NH3" s="254" t="s">
        <v>142</v>
      </c>
      <c r="NI3" s="254" t="s">
        <v>95</v>
      </c>
      <c r="NJ3" s="254" t="s">
        <v>96</v>
      </c>
      <c r="NK3" s="254" t="s">
        <v>143</v>
      </c>
      <c r="NL3" s="254" t="s">
        <v>97</v>
      </c>
      <c r="NM3" s="254" t="s">
        <v>98</v>
      </c>
      <c r="NN3" s="254" t="s">
        <v>144</v>
      </c>
      <c r="NO3" s="254" t="s">
        <v>99</v>
      </c>
      <c r="NP3" s="254" t="s">
        <v>94</v>
      </c>
      <c r="NQ3" s="254" t="s">
        <v>142</v>
      </c>
      <c r="NR3" s="254" t="s">
        <v>95</v>
      </c>
      <c r="NS3" s="254" t="s">
        <v>96</v>
      </c>
      <c r="NT3" s="254" t="s">
        <v>143</v>
      </c>
      <c r="NU3" s="254" t="s">
        <v>97</v>
      </c>
      <c r="NV3" s="254" t="s">
        <v>98</v>
      </c>
      <c r="NW3" s="254" t="s">
        <v>144</v>
      </c>
      <c r="NX3" s="254" t="s">
        <v>99</v>
      </c>
      <c r="NY3" s="254" t="s">
        <v>94</v>
      </c>
      <c r="NZ3" s="254" t="s">
        <v>142</v>
      </c>
      <c r="OA3" s="254" t="s">
        <v>95</v>
      </c>
      <c r="OB3" s="254" t="s">
        <v>96</v>
      </c>
      <c r="OC3" s="254" t="s">
        <v>143</v>
      </c>
      <c r="OD3" s="254" t="s">
        <v>97</v>
      </c>
      <c r="OE3" s="254" t="s">
        <v>98</v>
      </c>
      <c r="OF3" s="254" t="s">
        <v>144</v>
      </c>
      <c r="OG3" s="254" t="s">
        <v>99</v>
      </c>
      <c r="OH3" s="254" t="s">
        <v>94</v>
      </c>
      <c r="OI3" s="254" t="s">
        <v>142</v>
      </c>
      <c r="OJ3" s="254" t="s">
        <v>95</v>
      </c>
      <c r="OK3" s="254" t="s">
        <v>96</v>
      </c>
      <c r="OL3" s="254" t="s">
        <v>143</v>
      </c>
      <c r="OM3" s="254" t="s">
        <v>97</v>
      </c>
      <c r="ON3" s="254" t="s">
        <v>98</v>
      </c>
      <c r="OO3" s="254" t="s">
        <v>144</v>
      </c>
      <c r="OP3" s="255" t="s">
        <v>99</v>
      </c>
      <c r="OQ3" s="254" t="s">
        <v>94</v>
      </c>
      <c r="OR3" s="254" t="s">
        <v>142</v>
      </c>
      <c r="OS3" s="254" t="s">
        <v>95</v>
      </c>
      <c r="OT3" s="254" t="s">
        <v>96</v>
      </c>
      <c r="OU3" s="254" t="s">
        <v>143</v>
      </c>
      <c r="OV3" s="254" t="s">
        <v>97</v>
      </c>
      <c r="OW3" s="254" t="s">
        <v>98</v>
      </c>
      <c r="OX3" s="254" t="s">
        <v>144</v>
      </c>
      <c r="OY3" s="254" t="s">
        <v>99</v>
      </c>
      <c r="OZ3" s="254" t="s">
        <v>94</v>
      </c>
      <c r="PA3" s="254" t="s">
        <v>142</v>
      </c>
      <c r="PB3" s="254" t="s">
        <v>95</v>
      </c>
      <c r="PC3" s="254" t="s">
        <v>96</v>
      </c>
      <c r="PD3" s="254" t="s">
        <v>143</v>
      </c>
      <c r="PE3" s="254" t="s">
        <v>97</v>
      </c>
      <c r="PF3" s="254" t="s">
        <v>98</v>
      </c>
      <c r="PG3" s="254" t="s">
        <v>144</v>
      </c>
      <c r="PH3" s="254" t="s">
        <v>99</v>
      </c>
      <c r="PI3" s="254" t="s">
        <v>94</v>
      </c>
      <c r="PJ3" s="254" t="s">
        <v>142</v>
      </c>
      <c r="PK3" s="254" t="s">
        <v>95</v>
      </c>
      <c r="PL3" s="254" t="s">
        <v>96</v>
      </c>
      <c r="PM3" s="254" t="s">
        <v>143</v>
      </c>
      <c r="PN3" s="254" t="s">
        <v>97</v>
      </c>
      <c r="PO3" s="254" t="s">
        <v>98</v>
      </c>
      <c r="PP3" s="254" t="s">
        <v>144</v>
      </c>
      <c r="PQ3" s="254" t="s">
        <v>99</v>
      </c>
      <c r="PR3" s="254" t="s">
        <v>94</v>
      </c>
      <c r="PS3" s="254" t="s">
        <v>142</v>
      </c>
      <c r="PT3" s="254" t="s">
        <v>95</v>
      </c>
      <c r="PU3" s="254" t="s">
        <v>96</v>
      </c>
      <c r="PV3" s="254" t="s">
        <v>143</v>
      </c>
      <c r="PW3" s="254" t="s">
        <v>97</v>
      </c>
      <c r="PX3" s="254" t="s">
        <v>98</v>
      </c>
      <c r="PY3" s="254" t="s">
        <v>144</v>
      </c>
      <c r="PZ3" s="254" t="s">
        <v>99</v>
      </c>
      <c r="QA3" s="254" t="s">
        <v>94</v>
      </c>
      <c r="QB3" s="254" t="s">
        <v>142</v>
      </c>
      <c r="QC3" s="254" t="s">
        <v>95</v>
      </c>
      <c r="QD3" s="254" t="s">
        <v>96</v>
      </c>
      <c r="QE3" s="254" t="s">
        <v>143</v>
      </c>
      <c r="QF3" s="254" t="s">
        <v>97</v>
      </c>
      <c r="QG3" s="254" t="s">
        <v>98</v>
      </c>
      <c r="QH3" s="254" t="s">
        <v>144</v>
      </c>
      <c r="QI3" s="255" t="s">
        <v>99</v>
      </c>
      <c r="QJ3" s="254" t="s">
        <v>94</v>
      </c>
      <c r="QK3" s="254" t="s">
        <v>142</v>
      </c>
      <c r="QL3" s="254" t="s">
        <v>95</v>
      </c>
      <c r="QM3" s="254" t="s">
        <v>96</v>
      </c>
      <c r="QN3" s="254" t="s">
        <v>143</v>
      </c>
      <c r="QO3" s="254" t="s">
        <v>97</v>
      </c>
      <c r="QP3" s="254" t="s">
        <v>98</v>
      </c>
      <c r="QQ3" s="254" t="s">
        <v>144</v>
      </c>
      <c r="QR3" s="254" t="s">
        <v>99</v>
      </c>
      <c r="QS3" s="254" t="s">
        <v>94</v>
      </c>
      <c r="QT3" s="254" t="s">
        <v>142</v>
      </c>
      <c r="QU3" s="254" t="s">
        <v>95</v>
      </c>
      <c r="QV3" s="254" t="s">
        <v>96</v>
      </c>
      <c r="QW3" s="254" t="s">
        <v>143</v>
      </c>
      <c r="QX3" s="254" t="s">
        <v>97</v>
      </c>
      <c r="QY3" s="254" t="s">
        <v>98</v>
      </c>
      <c r="QZ3" s="254" t="s">
        <v>144</v>
      </c>
      <c r="RA3" s="254" t="s">
        <v>99</v>
      </c>
      <c r="RB3" s="254" t="s">
        <v>94</v>
      </c>
      <c r="RC3" s="254" t="s">
        <v>142</v>
      </c>
      <c r="RD3" s="254" t="s">
        <v>95</v>
      </c>
      <c r="RE3" s="254" t="s">
        <v>96</v>
      </c>
      <c r="RF3" s="254" t="s">
        <v>143</v>
      </c>
      <c r="RG3" s="254" t="s">
        <v>97</v>
      </c>
      <c r="RH3" s="254" t="s">
        <v>98</v>
      </c>
      <c r="RI3" s="254" t="s">
        <v>144</v>
      </c>
      <c r="RJ3" s="254" t="s">
        <v>99</v>
      </c>
      <c r="RK3" s="254" t="s">
        <v>94</v>
      </c>
      <c r="RL3" s="254" t="s">
        <v>142</v>
      </c>
      <c r="RM3" s="254" t="s">
        <v>95</v>
      </c>
      <c r="RN3" s="254" t="s">
        <v>96</v>
      </c>
      <c r="RO3" s="254" t="s">
        <v>143</v>
      </c>
      <c r="RP3" s="254" t="s">
        <v>97</v>
      </c>
      <c r="RQ3" s="254" t="s">
        <v>98</v>
      </c>
      <c r="RR3" s="254" t="s">
        <v>144</v>
      </c>
      <c r="RS3" s="254" t="s">
        <v>99</v>
      </c>
      <c r="RT3" s="254" t="s">
        <v>94</v>
      </c>
      <c r="RU3" s="254" t="s">
        <v>142</v>
      </c>
      <c r="RV3" s="254" t="s">
        <v>95</v>
      </c>
      <c r="RW3" s="254" t="s">
        <v>96</v>
      </c>
      <c r="RX3" s="254" t="s">
        <v>143</v>
      </c>
      <c r="RY3" s="254" t="s">
        <v>97</v>
      </c>
      <c r="RZ3" s="254" t="s">
        <v>98</v>
      </c>
      <c r="SA3" s="254" t="s">
        <v>144</v>
      </c>
      <c r="SB3" s="255" t="s">
        <v>99</v>
      </c>
      <c r="SC3" s="254" t="s">
        <v>94</v>
      </c>
      <c r="SD3" s="254" t="s">
        <v>142</v>
      </c>
      <c r="SE3" s="254" t="s">
        <v>95</v>
      </c>
      <c r="SF3" s="254" t="s">
        <v>96</v>
      </c>
      <c r="SG3" s="254" t="s">
        <v>143</v>
      </c>
      <c r="SH3" s="254" t="s">
        <v>97</v>
      </c>
      <c r="SI3" s="254" t="s">
        <v>98</v>
      </c>
      <c r="SJ3" s="254" t="s">
        <v>144</v>
      </c>
      <c r="SK3" s="254" t="s">
        <v>99</v>
      </c>
      <c r="SL3" s="254" t="s">
        <v>94</v>
      </c>
      <c r="SM3" s="254" t="s">
        <v>142</v>
      </c>
      <c r="SN3" s="254" t="s">
        <v>95</v>
      </c>
      <c r="SO3" s="254" t="s">
        <v>96</v>
      </c>
      <c r="SP3" s="254" t="s">
        <v>143</v>
      </c>
      <c r="SQ3" s="254" t="s">
        <v>97</v>
      </c>
      <c r="SR3" s="254" t="s">
        <v>98</v>
      </c>
      <c r="SS3" s="254" t="s">
        <v>144</v>
      </c>
      <c r="ST3" s="254" t="s">
        <v>99</v>
      </c>
      <c r="SU3" s="254" t="s">
        <v>94</v>
      </c>
      <c r="SV3" s="254" t="s">
        <v>142</v>
      </c>
      <c r="SW3" s="254" t="s">
        <v>95</v>
      </c>
      <c r="SX3" s="254" t="s">
        <v>96</v>
      </c>
      <c r="SY3" s="254" t="s">
        <v>143</v>
      </c>
      <c r="SZ3" s="254" t="s">
        <v>97</v>
      </c>
      <c r="TA3" s="254" t="s">
        <v>98</v>
      </c>
      <c r="TB3" s="254" t="s">
        <v>144</v>
      </c>
      <c r="TC3" s="254" t="s">
        <v>99</v>
      </c>
      <c r="TD3" s="254" t="s">
        <v>94</v>
      </c>
      <c r="TE3" s="254" t="s">
        <v>142</v>
      </c>
      <c r="TF3" s="254" t="s">
        <v>95</v>
      </c>
      <c r="TG3" s="254" t="s">
        <v>96</v>
      </c>
      <c r="TH3" s="254" t="s">
        <v>143</v>
      </c>
      <c r="TI3" s="254" t="s">
        <v>97</v>
      </c>
      <c r="TJ3" s="254" t="s">
        <v>98</v>
      </c>
      <c r="TK3" s="254" t="s">
        <v>144</v>
      </c>
      <c r="TL3" s="254" t="s">
        <v>99</v>
      </c>
      <c r="TM3" s="254" t="s">
        <v>94</v>
      </c>
      <c r="TN3" s="254" t="s">
        <v>142</v>
      </c>
      <c r="TO3" s="254" t="s">
        <v>95</v>
      </c>
      <c r="TP3" s="254" t="s">
        <v>96</v>
      </c>
      <c r="TQ3" s="254" t="s">
        <v>143</v>
      </c>
      <c r="TR3" s="254" t="s">
        <v>97</v>
      </c>
      <c r="TS3" s="254" t="s">
        <v>98</v>
      </c>
      <c r="TT3" s="254" t="s">
        <v>144</v>
      </c>
      <c r="TU3" s="255" t="s">
        <v>99</v>
      </c>
      <c r="TV3" s="254" t="s">
        <v>94</v>
      </c>
      <c r="TW3" s="254" t="s">
        <v>142</v>
      </c>
      <c r="TX3" s="254" t="s">
        <v>95</v>
      </c>
      <c r="TY3" s="254" t="s">
        <v>96</v>
      </c>
      <c r="TZ3" s="254" t="s">
        <v>143</v>
      </c>
      <c r="UA3" s="254" t="s">
        <v>97</v>
      </c>
      <c r="UB3" s="254" t="s">
        <v>98</v>
      </c>
      <c r="UC3" s="254" t="s">
        <v>144</v>
      </c>
      <c r="UD3" s="254" t="s">
        <v>99</v>
      </c>
      <c r="UE3" s="254" t="s">
        <v>94</v>
      </c>
      <c r="UF3" s="254" t="s">
        <v>142</v>
      </c>
      <c r="UG3" s="254" t="s">
        <v>95</v>
      </c>
      <c r="UH3" s="254" t="s">
        <v>96</v>
      </c>
      <c r="UI3" s="254" t="s">
        <v>143</v>
      </c>
      <c r="UJ3" s="254" t="s">
        <v>97</v>
      </c>
      <c r="UK3" s="254" t="s">
        <v>98</v>
      </c>
      <c r="UL3" s="254" t="s">
        <v>144</v>
      </c>
      <c r="UM3" s="254" t="s">
        <v>99</v>
      </c>
      <c r="UN3" s="254" t="s">
        <v>94</v>
      </c>
      <c r="UO3" s="254" t="s">
        <v>142</v>
      </c>
      <c r="UP3" s="254" t="s">
        <v>95</v>
      </c>
      <c r="UQ3" s="254" t="s">
        <v>96</v>
      </c>
      <c r="UR3" s="254" t="s">
        <v>143</v>
      </c>
      <c r="US3" s="254" t="s">
        <v>97</v>
      </c>
      <c r="UT3" s="254" t="s">
        <v>98</v>
      </c>
      <c r="UU3" s="254" t="s">
        <v>144</v>
      </c>
      <c r="UV3" s="254" t="s">
        <v>99</v>
      </c>
      <c r="UW3" s="254" t="s">
        <v>94</v>
      </c>
      <c r="UX3" s="254" t="s">
        <v>142</v>
      </c>
      <c r="UY3" s="254" t="s">
        <v>95</v>
      </c>
      <c r="UZ3" s="254" t="s">
        <v>96</v>
      </c>
      <c r="VA3" s="254" t="s">
        <v>143</v>
      </c>
      <c r="VB3" s="254" t="s">
        <v>97</v>
      </c>
      <c r="VC3" s="254" t="s">
        <v>98</v>
      </c>
      <c r="VD3" s="254" t="s">
        <v>144</v>
      </c>
      <c r="VE3" s="254" t="s">
        <v>99</v>
      </c>
      <c r="VF3" s="254" t="s">
        <v>94</v>
      </c>
      <c r="VG3" s="254" t="s">
        <v>142</v>
      </c>
      <c r="VH3" s="254" t="s">
        <v>95</v>
      </c>
      <c r="VI3" s="254" t="s">
        <v>96</v>
      </c>
      <c r="VJ3" s="254" t="s">
        <v>143</v>
      </c>
      <c r="VK3" s="254" t="s">
        <v>97</v>
      </c>
      <c r="VL3" s="254" t="s">
        <v>98</v>
      </c>
      <c r="VM3" s="254" t="s">
        <v>144</v>
      </c>
      <c r="VN3" s="255" t="s">
        <v>99</v>
      </c>
    </row>
    <row r="4" spans="1:586">
      <c r="A4" s="163" t="s">
        <v>102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5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5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5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5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  <c r="IW4" s="254"/>
      <c r="IX4" s="254"/>
      <c r="IY4" s="254"/>
      <c r="IZ4" s="254"/>
      <c r="JA4" s="254"/>
      <c r="JB4" s="254"/>
      <c r="JC4" s="254"/>
      <c r="JD4" s="254"/>
      <c r="JE4" s="254"/>
      <c r="JF4" s="254"/>
      <c r="JG4" s="254"/>
      <c r="JH4" s="254"/>
      <c r="JI4" s="254"/>
      <c r="JJ4" s="254"/>
      <c r="JK4" s="255"/>
      <c r="JL4" s="254"/>
      <c r="JM4" s="254"/>
      <c r="JN4" s="254"/>
      <c r="JO4" s="254"/>
      <c r="JP4" s="254"/>
      <c r="JQ4" s="254"/>
      <c r="JR4" s="254"/>
      <c r="JS4" s="254"/>
      <c r="JT4" s="254"/>
      <c r="JU4" s="254"/>
      <c r="JV4" s="254"/>
      <c r="JW4" s="254"/>
      <c r="JX4" s="254"/>
      <c r="JY4" s="254"/>
      <c r="JZ4" s="254"/>
      <c r="KA4" s="254"/>
      <c r="KB4" s="254"/>
      <c r="KC4" s="254"/>
      <c r="KD4" s="254"/>
      <c r="KE4" s="254"/>
      <c r="KF4" s="254"/>
      <c r="KG4" s="254"/>
      <c r="KH4" s="254"/>
      <c r="KI4" s="254"/>
      <c r="KJ4" s="254"/>
      <c r="KK4" s="254"/>
      <c r="KL4" s="254"/>
      <c r="KM4" s="254"/>
      <c r="KN4" s="254"/>
      <c r="KO4" s="254"/>
      <c r="KP4" s="254"/>
      <c r="KQ4" s="254"/>
      <c r="KR4" s="254"/>
      <c r="KS4" s="254"/>
      <c r="KT4" s="254"/>
      <c r="KU4" s="254"/>
      <c r="KV4" s="254"/>
      <c r="KW4" s="254"/>
      <c r="KX4" s="254"/>
      <c r="KY4" s="254"/>
      <c r="KZ4" s="254"/>
      <c r="LA4" s="254"/>
      <c r="LB4" s="254"/>
      <c r="LC4" s="254"/>
      <c r="LD4" s="255"/>
      <c r="LE4" s="254"/>
      <c r="LF4" s="254"/>
      <c r="LG4" s="254"/>
      <c r="LH4" s="254"/>
      <c r="LI4" s="254"/>
      <c r="LJ4" s="254"/>
      <c r="LK4" s="254"/>
      <c r="LL4" s="254"/>
      <c r="LM4" s="254"/>
      <c r="LN4" s="254"/>
      <c r="LO4" s="254"/>
      <c r="LP4" s="254"/>
      <c r="LQ4" s="254"/>
      <c r="LR4" s="254"/>
      <c r="LS4" s="254"/>
      <c r="LT4" s="254"/>
      <c r="LU4" s="254"/>
      <c r="LV4" s="254"/>
      <c r="LW4" s="254"/>
      <c r="LX4" s="254"/>
      <c r="LY4" s="254"/>
      <c r="LZ4" s="254"/>
      <c r="MA4" s="254"/>
      <c r="MB4" s="254"/>
      <c r="MC4" s="254"/>
      <c r="MD4" s="254"/>
      <c r="ME4" s="254"/>
      <c r="MF4" s="254"/>
      <c r="MG4" s="254"/>
      <c r="MH4" s="254"/>
      <c r="MI4" s="254"/>
      <c r="MJ4" s="254"/>
      <c r="MK4" s="254"/>
      <c r="ML4" s="254"/>
      <c r="MM4" s="254"/>
      <c r="MN4" s="254"/>
      <c r="MO4" s="254"/>
      <c r="MP4" s="254"/>
      <c r="MQ4" s="254"/>
      <c r="MR4" s="254"/>
      <c r="MS4" s="254"/>
      <c r="MT4" s="254"/>
      <c r="MU4" s="254"/>
      <c r="MV4" s="254"/>
      <c r="MW4" s="255"/>
      <c r="MX4" s="254"/>
      <c r="MY4" s="254"/>
      <c r="MZ4" s="254"/>
      <c r="NA4" s="254"/>
      <c r="NB4" s="254"/>
      <c r="NC4" s="254"/>
      <c r="ND4" s="254"/>
      <c r="NE4" s="254"/>
      <c r="NF4" s="254"/>
      <c r="NG4" s="254"/>
      <c r="NH4" s="254"/>
      <c r="NI4" s="254"/>
      <c r="NJ4" s="254"/>
      <c r="NK4" s="254"/>
      <c r="NL4" s="254"/>
      <c r="NM4" s="254"/>
      <c r="NN4" s="254"/>
      <c r="NO4" s="254"/>
      <c r="NP4" s="254"/>
      <c r="NQ4" s="254"/>
      <c r="NR4" s="254"/>
      <c r="NS4" s="254"/>
      <c r="NT4" s="254"/>
      <c r="NU4" s="254"/>
      <c r="NV4" s="254"/>
      <c r="NW4" s="254"/>
      <c r="NX4" s="254"/>
      <c r="NY4" s="254"/>
      <c r="NZ4" s="254"/>
      <c r="OA4" s="254"/>
      <c r="OB4" s="254"/>
      <c r="OC4" s="254"/>
      <c r="OD4" s="254"/>
      <c r="OE4" s="254"/>
      <c r="OF4" s="254"/>
      <c r="OG4" s="254"/>
      <c r="OH4" s="254"/>
      <c r="OI4" s="254"/>
      <c r="OJ4" s="254"/>
      <c r="OK4" s="254"/>
      <c r="OL4" s="254"/>
      <c r="OM4" s="254"/>
      <c r="ON4" s="254"/>
      <c r="OO4" s="254"/>
      <c r="OP4" s="255"/>
      <c r="OQ4" s="254"/>
      <c r="OR4" s="254"/>
      <c r="OS4" s="254"/>
      <c r="OT4" s="254"/>
      <c r="OU4" s="254"/>
      <c r="OV4" s="254"/>
      <c r="OW4" s="254"/>
      <c r="OX4" s="254"/>
      <c r="OY4" s="254"/>
      <c r="OZ4" s="254"/>
      <c r="PA4" s="254"/>
      <c r="PB4" s="254"/>
      <c r="PC4" s="254"/>
      <c r="PD4" s="254"/>
      <c r="PE4" s="254"/>
      <c r="PF4" s="254"/>
      <c r="PG4" s="254"/>
      <c r="PH4" s="254"/>
      <c r="PI4" s="254"/>
      <c r="PJ4" s="254"/>
      <c r="PK4" s="254"/>
      <c r="PL4" s="254"/>
      <c r="PM4" s="254"/>
      <c r="PN4" s="254"/>
      <c r="PO4" s="254"/>
      <c r="PP4" s="254"/>
      <c r="PQ4" s="254"/>
      <c r="PR4" s="254"/>
      <c r="PS4" s="254"/>
      <c r="PT4" s="254"/>
      <c r="PU4" s="254"/>
      <c r="PV4" s="254"/>
      <c r="PW4" s="254"/>
      <c r="PX4" s="254"/>
      <c r="PY4" s="254"/>
      <c r="PZ4" s="254"/>
      <c r="QA4" s="254"/>
      <c r="QB4" s="254"/>
      <c r="QC4" s="254"/>
      <c r="QD4" s="254"/>
      <c r="QE4" s="254"/>
      <c r="QF4" s="254"/>
      <c r="QG4" s="254"/>
      <c r="QH4" s="254"/>
      <c r="QI4" s="255"/>
      <c r="QJ4" s="254"/>
      <c r="QK4" s="254"/>
      <c r="QL4" s="254"/>
      <c r="QM4" s="254"/>
      <c r="QN4" s="254"/>
      <c r="QO4" s="254"/>
      <c r="QP4" s="254"/>
      <c r="QQ4" s="254"/>
      <c r="QR4" s="254"/>
      <c r="QS4" s="254"/>
      <c r="QT4" s="254"/>
      <c r="QU4" s="254"/>
      <c r="QV4" s="254"/>
      <c r="QW4" s="254"/>
      <c r="QX4" s="254"/>
      <c r="QY4" s="254"/>
      <c r="QZ4" s="254"/>
      <c r="RA4" s="254"/>
      <c r="RB4" s="254"/>
      <c r="RC4" s="254"/>
      <c r="RD4" s="254"/>
      <c r="RE4" s="254"/>
      <c r="RF4" s="254"/>
      <c r="RG4" s="254"/>
      <c r="RH4" s="254"/>
      <c r="RI4" s="254"/>
      <c r="RJ4" s="254"/>
      <c r="RK4" s="254"/>
      <c r="RL4" s="254"/>
      <c r="RM4" s="254"/>
      <c r="RN4" s="254"/>
      <c r="RO4" s="254"/>
      <c r="RP4" s="254"/>
      <c r="RQ4" s="254"/>
      <c r="RR4" s="254"/>
      <c r="RS4" s="254"/>
      <c r="RT4" s="254"/>
      <c r="RU4" s="254"/>
      <c r="RV4" s="254"/>
      <c r="RW4" s="254"/>
      <c r="RX4" s="254"/>
      <c r="RY4" s="254"/>
      <c r="RZ4" s="254"/>
      <c r="SA4" s="254"/>
      <c r="SB4" s="255"/>
      <c r="SC4" s="254"/>
      <c r="SD4" s="254"/>
      <c r="SE4" s="254"/>
      <c r="SF4" s="254"/>
      <c r="SG4" s="254"/>
      <c r="SH4" s="254"/>
      <c r="SI4" s="254"/>
      <c r="SJ4" s="254"/>
      <c r="SK4" s="254"/>
      <c r="SL4" s="254"/>
      <c r="SM4" s="254"/>
      <c r="SN4" s="254"/>
      <c r="SO4" s="254"/>
      <c r="SP4" s="254"/>
      <c r="SQ4" s="254"/>
      <c r="SR4" s="254"/>
      <c r="SS4" s="254"/>
      <c r="ST4" s="254"/>
      <c r="SU4" s="254"/>
      <c r="SV4" s="254"/>
      <c r="SW4" s="254"/>
      <c r="SX4" s="254"/>
      <c r="SY4" s="254"/>
      <c r="SZ4" s="254"/>
      <c r="TA4" s="254"/>
      <c r="TB4" s="254"/>
      <c r="TC4" s="254"/>
      <c r="TD4" s="254"/>
      <c r="TE4" s="254"/>
      <c r="TF4" s="254"/>
      <c r="TG4" s="254"/>
      <c r="TH4" s="254"/>
      <c r="TI4" s="254"/>
      <c r="TJ4" s="254"/>
      <c r="TK4" s="254"/>
      <c r="TL4" s="254"/>
      <c r="TM4" s="254"/>
      <c r="TN4" s="254"/>
      <c r="TO4" s="254"/>
      <c r="TP4" s="254"/>
      <c r="TQ4" s="254"/>
      <c r="TR4" s="254"/>
      <c r="TS4" s="254"/>
      <c r="TT4" s="254"/>
      <c r="TU4" s="255"/>
      <c r="TV4" s="254"/>
      <c r="TW4" s="254"/>
      <c r="TX4" s="254"/>
      <c r="TY4" s="254"/>
      <c r="TZ4" s="254"/>
      <c r="UA4" s="254"/>
      <c r="UB4" s="254"/>
      <c r="UC4" s="254"/>
      <c r="UD4" s="254"/>
      <c r="UE4" s="254"/>
      <c r="UF4" s="254"/>
      <c r="UG4" s="254"/>
      <c r="UH4" s="254"/>
      <c r="UI4" s="254"/>
      <c r="UJ4" s="254"/>
      <c r="UK4" s="254"/>
      <c r="UL4" s="254"/>
      <c r="UM4" s="254"/>
      <c r="UN4" s="254"/>
      <c r="UO4" s="254"/>
      <c r="UP4" s="254"/>
      <c r="UQ4" s="254"/>
      <c r="UR4" s="254"/>
      <c r="US4" s="254"/>
      <c r="UT4" s="254"/>
      <c r="UU4" s="254"/>
      <c r="UV4" s="254"/>
      <c r="UW4" s="254"/>
      <c r="UX4" s="254"/>
      <c r="UY4" s="254"/>
      <c r="UZ4" s="254"/>
      <c r="VA4" s="254"/>
      <c r="VB4" s="254"/>
      <c r="VC4" s="254"/>
      <c r="VD4" s="254"/>
      <c r="VE4" s="254"/>
      <c r="VF4" s="254"/>
      <c r="VG4" s="254"/>
      <c r="VH4" s="254"/>
      <c r="VI4" s="254"/>
      <c r="VJ4" s="254"/>
      <c r="VK4" s="254"/>
      <c r="VL4" s="254"/>
      <c r="VM4" s="254"/>
      <c r="VN4" s="255"/>
    </row>
    <row r="5" spans="1:586">
      <c r="A5" s="267" t="s">
        <v>2</v>
      </c>
      <c r="B5" s="261">
        <v>2409309.8923360002</v>
      </c>
      <c r="C5" s="261">
        <v>2438057.4653989999</v>
      </c>
      <c r="D5" s="262">
        <v>-1.17911794414146E-2</v>
      </c>
      <c r="E5" s="261">
        <v>21355297.238127001</v>
      </c>
      <c r="F5" s="261">
        <v>21218550.900658</v>
      </c>
      <c r="G5" s="262">
        <v>6.4446595862849296E-3</v>
      </c>
      <c r="H5" s="261">
        <v>35083176.149887003</v>
      </c>
      <c r="I5" s="261">
        <v>33548477.075601999</v>
      </c>
      <c r="J5" s="262">
        <v>4.5745715098379103E-2</v>
      </c>
      <c r="K5" s="261">
        <v>0</v>
      </c>
      <c r="L5" s="261">
        <v>0</v>
      </c>
      <c r="M5" s="262">
        <v>0</v>
      </c>
      <c r="N5" s="261">
        <v>0</v>
      </c>
      <c r="O5" s="261">
        <v>0</v>
      </c>
      <c r="P5" s="262">
        <v>0</v>
      </c>
      <c r="Q5" s="261">
        <v>0</v>
      </c>
      <c r="R5" s="261">
        <v>0</v>
      </c>
      <c r="S5" s="262">
        <v>0</v>
      </c>
      <c r="T5" s="261">
        <v>0</v>
      </c>
      <c r="U5" s="261">
        <v>0</v>
      </c>
      <c r="V5" s="262">
        <v>0</v>
      </c>
      <c r="W5" s="261">
        <v>0</v>
      </c>
      <c r="X5" s="261">
        <v>0</v>
      </c>
      <c r="Y5" s="262">
        <v>0</v>
      </c>
      <c r="Z5" s="261">
        <v>0</v>
      </c>
      <c r="AA5" s="261">
        <v>0</v>
      </c>
      <c r="AB5" s="262">
        <v>0</v>
      </c>
      <c r="AC5" s="261">
        <v>0</v>
      </c>
      <c r="AD5" s="261">
        <v>0</v>
      </c>
      <c r="AE5" s="262">
        <v>0</v>
      </c>
      <c r="AF5" s="261">
        <v>0</v>
      </c>
      <c r="AG5" s="261">
        <v>0</v>
      </c>
      <c r="AH5" s="262">
        <v>0</v>
      </c>
      <c r="AI5" s="261">
        <v>0</v>
      </c>
      <c r="AJ5" s="261">
        <v>0</v>
      </c>
      <c r="AK5" s="262">
        <v>0</v>
      </c>
      <c r="AL5" s="261">
        <v>0</v>
      </c>
      <c r="AM5" s="261">
        <v>275.41500000000002</v>
      </c>
      <c r="AN5" s="262">
        <v>-1</v>
      </c>
      <c r="AO5" s="261">
        <v>339.86099999999999</v>
      </c>
      <c r="AP5" s="261">
        <v>1670.203</v>
      </c>
      <c r="AQ5" s="262">
        <v>-0.79651515414593299</v>
      </c>
      <c r="AR5" s="261">
        <v>2059.0990000000002</v>
      </c>
      <c r="AS5" s="261">
        <v>3440.527</v>
      </c>
      <c r="AT5" s="263">
        <v>-0.40151639559869801</v>
      </c>
      <c r="AU5" s="261">
        <v>1903303.8931529999</v>
      </c>
      <c r="AV5" s="261">
        <v>2170205.7400830002</v>
      </c>
      <c r="AW5" s="262">
        <v>-0.12298458252156</v>
      </c>
      <c r="AX5" s="261">
        <v>23258601.131280001</v>
      </c>
      <c r="AY5" s="261">
        <v>23388756.640741002</v>
      </c>
      <c r="AZ5" s="262">
        <v>-5.5648751004695098E-3</v>
      </c>
      <c r="BA5" s="261">
        <v>34816274.302956998</v>
      </c>
      <c r="BB5" s="261">
        <v>34388344.049497001</v>
      </c>
      <c r="BC5" s="262">
        <v>1.24440494384974E-2</v>
      </c>
      <c r="BD5" s="261">
        <v>0</v>
      </c>
      <c r="BE5" s="261">
        <v>0</v>
      </c>
      <c r="BF5" s="262">
        <v>0</v>
      </c>
      <c r="BG5" s="261">
        <v>0</v>
      </c>
      <c r="BH5" s="261">
        <v>0</v>
      </c>
      <c r="BI5" s="262">
        <v>0</v>
      </c>
      <c r="BJ5" s="261">
        <v>0</v>
      </c>
      <c r="BK5" s="261">
        <v>0</v>
      </c>
      <c r="BL5" s="262">
        <v>0</v>
      </c>
      <c r="BM5" s="261">
        <v>0</v>
      </c>
      <c r="BN5" s="261">
        <v>0</v>
      </c>
      <c r="BO5" s="262">
        <v>0</v>
      </c>
      <c r="BP5" s="261">
        <v>0</v>
      </c>
      <c r="BQ5" s="261">
        <v>0</v>
      </c>
      <c r="BR5" s="262">
        <v>0</v>
      </c>
      <c r="BS5" s="261">
        <v>0</v>
      </c>
      <c r="BT5" s="261">
        <v>0</v>
      </c>
      <c r="BU5" s="262">
        <v>0</v>
      </c>
      <c r="BV5" s="261">
        <v>0</v>
      </c>
      <c r="BW5" s="261">
        <v>0</v>
      </c>
      <c r="BX5" s="262">
        <v>0</v>
      </c>
      <c r="BY5" s="261">
        <v>0</v>
      </c>
      <c r="BZ5" s="261">
        <v>0</v>
      </c>
      <c r="CA5" s="262">
        <v>0</v>
      </c>
      <c r="CB5" s="261">
        <v>0</v>
      </c>
      <c r="CC5" s="261">
        <v>0</v>
      </c>
      <c r="CD5" s="262">
        <v>0</v>
      </c>
      <c r="CE5" s="261">
        <v>0</v>
      </c>
      <c r="CF5" s="261">
        <v>290.60300000000001</v>
      </c>
      <c r="CG5" s="262">
        <v>-1</v>
      </c>
      <c r="CH5" s="261">
        <v>339.86099999999999</v>
      </c>
      <c r="CI5" s="261">
        <v>1960.806</v>
      </c>
      <c r="CJ5" s="262">
        <v>-0.82667280699875501</v>
      </c>
      <c r="CK5" s="261">
        <v>1768.4960000000001</v>
      </c>
      <c r="CL5" s="261">
        <v>3429.14</v>
      </c>
      <c r="CM5" s="263">
        <v>-0.48427419119662701</v>
      </c>
      <c r="CN5" s="261">
        <v>1795390.2815099999</v>
      </c>
      <c r="CO5" s="261">
        <v>1809467.52568</v>
      </c>
      <c r="CP5" s="262">
        <v>-7.7797716566975197E-3</v>
      </c>
      <c r="CQ5" s="261">
        <v>25053991.41279</v>
      </c>
      <c r="CR5" s="261">
        <v>25198224.166421</v>
      </c>
      <c r="CS5" s="262">
        <v>-5.7239253321352398E-3</v>
      </c>
      <c r="CT5" s="261">
        <v>34802197.058787003</v>
      </c>
      <c r="CU5" s="261">
        <v>35169311.265188999</v>
      </c>
      <c r="CV5" s="262">
        <v>-1.04384815395964E-2</v>
      </c>
      <c r="CW5" s="261">
        <v>0</v>
      </c>
      <c r="CX5" s="261">
        <v>0</v>
      </c>
      <c r="CY5" s="262">
        <v>0</v>
      </c>
      <c r="CZ5" s="261">
        <v>0</v>
      </c>
      <c r="DA5" s="261">
        <v>0</v>
      </c>
      <c r="DB5" s="262">
        <v>0</v>
      </c>
      <c r="DC5" s="261">
        <v>0</v>
      </c>
      <c r="DD5" s="261">
        <v>0</v>
      </c>
      <c r="DE5" s="262">
        <v>0</v>
      </c>
      <c r="DF5" s="261">
        <v>0</v>
      </c>
      <c r="DG5" s="261">
        <v>0</v>
      </c>
      <c r="DH5" s="262">
        <v>0</v>
      </c>
      <c r="DI5" s="261">
        <v>0</v>
      </c>
      <c r="DJ5" s="261">
        <v>0</v>
      </c>
      <c r="DK5" s="262">
        <v>0</v>
      </c>
      <c r="DL5" s="261">
        <v>0</v>
      </c>
      <c r="DM5" s="261">
        <v>0</v>
      </c>
      <c r="DN5" s="262">
        <v>0</v>
      </c>
      <c r="DO5" s="261">
        <v>0</v>
      </c>
      <c r="DP5" s="261">
        <v>0</v>
      </c>
      <c r="DQ5" s="262">
        <v>0</v>
      </c>
      <c r="DR5" s="261">
        <v>0</v>
      </c>
      <c r="DS5" s="261">
        <v>0</v>
      </c>
      <c r="DT5" s="262">
        <v>0</v>
      </c>
      <c r="DU5" s="261">
        <v>0</v>
      </c>
      <c r="DV5" s="261">
        <v>0</v>
      </c>
      <c r="DW5" s="262">
        <v>0</v>
      </c>
      <c r="DX5" s="261">
        <v>0</v>
      </c>
      <c r="DY5" s="261">
        <v>281.81700000000001</v>
      </c>
      <c r="DZ5" s="262">
        <v>-1</v>
      </c>
      <c r="EA5" s="261">
        <v>339.86099999999999</v>
      </c>
      <c r="EB5" s="261">
        <v>2242.623</v>
      </c>
      <c r="EC5" s="262">
        <v>-0.84845379718303104</v>
      </c>
      <c r="ED5" s="261">
        <v>1486.6790000000001</v>
      </c>
      <c r="EE5" s="261">
        <v>3421.3270000000002</v>
      </c>
      <c r="EF5" s="263">
        <v>-0.56546714184291702</v>
      </c>
      <c r="EG5" s="261">
        <v>1608430.31452</v>
      </c>
      <c r="EH5" s="261">
        <v>1653158.700133</v>
      </c>
      <c r="EI5" s="262">
        <v>-2.7056316861413E-2</v>
      </c>
      <c r="EJ5" s="261">
        <v>26662421.727310002</v>
      </c>
      <c r="EK5" s="261">
        <v>26851382.866553999</v>
      </c>
      <c r="EL5" s="262">
        <v>-7.0372963725219197E-3</v>
      </c>
      <c r="EM5" s="261">
        <v>34757468.673174001</v>
      </c>
      <c r="EN5" s="261">
        <v>35849661.670146003</v>
      </c>
      <c r="EO5" s="262">
        <v>-3.04659220223975E-2</v>
      </c>
      <c r="EP5" s="261">
        <v>0</v>
      </c>
      <c r="EQ5" s="261">
        <v>0</v>
      </c>
      <c r="ER5" s="262">
        <v>0</v>
      </c>
      <c r="ES5" s="261">
        <v>0</v>
      </c>
      <c r="ET5" s="261">
        <v>0</v>
      </c>
      <c r="EU5" s="262">
        <v>0</v>
      </c>
      <c r="EV5" s="261">
        <v>0</v>
      </c>
      <c r="EW5" s="261">
        <v>0</v>
      </c>
      <c r="EX5" s="262">
        <v>0</v>
      </c>
      <c r="EY5" s="261">
        <v>0</v>
      </c>
      <c r="EZ5" s="261">
        <v>0</v>
      </c>
      <c r="FA5" s="262">
        <v>0</v>
      </c>
      <c r="FB5" s="261">
        <v>0</v>
      </c>
      <c r="FC5" s="261">
        <v>0</v>
      </c>
      <c r="FD5" s="262">
        <v>0</v>
      </c>
      <c r="FE5" s="261">
        <v>0</v>
      </c>
      <c r="FF5" s="261">
        <v>0</v>
      </c>
      <c r="FG5" s="262">
        <v>0</v>
      </c>
      <c r="FH5" s="261">
        <v>0</v>
      </c>
      <c r="FI5" s="261">
        <v>0</v>
      </c>
      <c r="FJ5" s="262">
        <v>0</v>
      </c>
      <c r="FK5" s="261">
        <v>0</v>
      </c>
      <c r="FL5" s="261">
        <v>0</v>
      </c>
      <c r="FM5" s="262">
        <v>0</v>
      </c>
      <c r="FN5" s="261">
        <v>0</v>
      </c>
      <c r="FO5" s="261">
        <v>0</v>
      </c>
      <c r="FP5" s="262">
        <v>0</v>
      </c>
      <c r="FQ5" s="261">
        <v>0</v>
      </c>
      <c r="FR5" s="261">
        <v>276.21199999999999</v>
      </c>
      <c r="FS5" s="262">
        <v>-1</v>
      </c>
      <c r="FT5" s="261">
        <v>339.86099999999999</v>
      </c>
      <c r="FU5" s="261">
        <v>2518.835</v>
      </c>
      <c r="FV5" s="262">
        <v>-0.86507214644865604</v>
      </c>
      <c r="FW5" s="261">
        <v>1210.4670000000001</v>
      </c>
      <c r="FX5" s="261">
        <v>3408.2620000000002</v>
      </c>
      <c r="FY5" s="263">
        <v>-0.64484332483828999</v>
      </c>
      <c r="FZ5" s="261">
        <v>1758831.990428</v>
      </c>
      <c r="GA5" s="261">
        <v>2897320.3917470002</v>
      </c>
      <c r="GB5" s="262">
        <v>-0.39294528991753103</v>
      </c>
      <c r="GC5" s="261">
        <v>28421253.717737999</v>
      </c>
      <c r="GD5" s="261">
        <v>29748703.258301001</v>
      </c>
      <c r="GE5" s="262">
        <v>-4.4622097610005601E-2</v>
      </c>
      <c r="GF5" s="261">
        <v>33618980.271854997</v>
      </c>
      <c r="GG5" s="261">
        <v>37262407.069310002</v>
      </c>
      <c r="GH5" s="262">
        <v>-9.7777548044012397E-2</v>
      </c>
      <c r="GI5" s="261">
        <v>0</v>
      </c>
      <c r="GJ5" s="261">
        <v>0</v>
      </c>
      <c r="GK5" s="262">
        <v>0</v>
      </c>
      <c r="GL5" s="261">
        <v>0</v>
      </c>
      <c r="GM5" s="261">
        <v>0</v>
      </c>
      <c r="GN5" s="262">
        <v>0</v>
      </c>
      <c r="GO5" s="261">
        <v>0</v>
      </c>
      <c r="GP5" s="261">
        <v>0</v>
      </c>
      <c r="GQ5" s="262">
        <v>0</v>
      </c>
      <c r="GR5" s="261">
        <v>0</v>
      </c>
      <c r="GS5" s="261">
        <v>0</v>
      </c>
      <c r="GT5" s="262">
        <v>0</v>
      </c>
      <c r="GU5" s="261">
        <v>0</v>
      </c>
      <c r="GV5" s="261">
        <v>0</v>
      </c>
      <c r="GW5" s="262">
        <v>0</v>
      </c>
      <c r="GX5" s="261">
        <v>0</v>
      </c>
      <c r="GY5" s="261">
        <v>0</v>
      </c>
      <c r="GZ5" s="262">
        <v>0</v>
      </c>
      <c r="HA5" s="261">
        <v>0</v>
      </c>
      <c r="HB5" s="261">
        <v>0</v>
      </c>
      <c r="HC5" s="262">
        <v>0</v>
      </c>
      <c r="HD5" s="261">
        <v>0</v>
      </c>
      <c r="HE5" s="261">
        <v>0</v>
      </c>
      <c r="HF5" s="262">
        <v>0</v>
      </c>
      <c r="HG5" s="261">
        <v>0</v>
      </c>
      <c r="HH5" s="261">
        <v>0</v>
      </c>
      <c r="HI5" s="262">
        <v>0</v>
      </c>
      <c r="HJ5" s="261">
        <v>0</v>
      </c>
      <c r="HK5" s="261">
        <v>298.45299999999997</v>
      </c>
      <c r="HL5" s="262">
        <v>-1</v>
      </c>
      <c r="HM5" s="261">
        <v>339.86099999999999</v>
      </c>
      <c r="HN5" s="261">
        <v>2817.288</v>
      </c>
      <c r="HO5" s="262">
        <v>-0.87936590082377097</v>
      </c>
      <c r="HP5" s="261">
        <v>912.01400000000001</v>
      </c>
      <c r="HQ5" s="261">
        <v>3403.3679999999999</v>
      </c>
      <c r="HR5" s="263">
        <v>-0.73202604008734895</v>
      </c>
      <c r="HS5" s="261">
        <v>2029225.33232</v>
      </c>
      <c r="HT5" s="261">
        <v>2730624.2121640001</v>
      </c>
      <c r="HU5" s="262">
        <v>-0.256863934890604</v>
      </c>
      <c r="HV5" s="261">
        <v>30450479.050058</v>
      </c>
      <c r="HW5" s="261">
        <v>32479327.470465001</v>
      </c>
      <c r="HX5" s="262">
        <v>-6.24658383783325E-2</v>
      </c>
      <c r="HY5" s="261">
        <v>32917581.392011002</v>
      </c>
      <c r="HZ5" s="261">
        <v>36510545.958823003</v>
      </c>
      <c r="IA5" s="262">
        <v>-9.8408952056323301E-2</v>
      </c>
      <c r="IB5" s="261">
        <v>0</v>
      </c>
      <c r="IC5" s="261">
        <v>0</v>
      </c>
      <c r="ID5" s="262">
        <v>0</v>
      </c>
      <c r="IE5" s="261">
        <v>0</v>
      </c>
      <c r="IF5" s="261">
        <v>0</v>
      </c>
      <c r="IG5" s="262">
        <v>0</v>
      </c>
      <c r="IH5" s="261">
        <v>0</v>
      </c>
      <c r="II5" s="261">
        <v>0</v>
      </c>
      <c r="IJ5" s="262">
        <v>0</v>
      </c>
      <c r="IK5" s="261">
        <v>0</v>
      </c>
      <c r="IL5" s="261">
        <v>0</v>
      </c>
      <c r="IM5" s="262">
        <v>0</v>
      </c>
      <c r="IN5" s="261">
        <v>0</v>
      </c>
      <c r="IO5" s="261">
        <v>0</v>
      </c>
      <c r="IP5" s="262">
        <v>0</v>
      </c>
      <c r="IQ5" s="261">
        <v>0</v>
      </c>
      <c r="IR5" s="261">
        <v>0</v>
      </c>
      <c r="IS5" s="262">
        <v>0</v>
      </c>
      <c r="IT5" s="261">
        <v>0</v>
      </c>
      <c r="IU5" s="261">
        <v>0</v>
      </c>
      <c r="IV5" s="262">
        <v>0</v>
      </c>
      <c r="IW5" s="261">
        <v>0</v>
      </c>
      <c r="IX5" s="261">
        <v>0</v>
      </c>
      <c r="IY5" s="262">
        <v>0</v>
      </c>
      <c r="IZ5" s="261">
        <v>0</v>
      </c>
      <c r="JA5" s="261">
        <v>0</v>
      </c>
      <c r="JB5" s="262">
        <v>0</v>
      </c>
      <c r="JC5" s="261">
        <v>0</v>
      </c>
      <c r="JD5" s="261">
        <v>284.31799999999998</v>
      </c>
      <c r="JE5" s="262">
        <v>-1</v>
      </c>
      <c r="JF5" s="261">
        <v>339.86099999999999</v>
      </c>
      <c r="JG5" s="261">
        <v>3101.6060000000002</v>
      </c>
      <c r="JH5" s="262">
        <v>-0.89042418669553802</v>
      </c>
      <c r="JI5" s="261">
        <v>627.69600000000003</v>
      </c>
      <c r="JJ5" s="261">
        <v>3407.2170000000001</v>
      </c>
      <c r="JK5" s="263">
        <v>-0.81577457496836903</v>
      </c>
      <c r="JL5" s="261">
        <v>3248765.9010939999</v>
      </c>
      <c r="JM5" s="261">
        <v>2467102.3419530001</v>
      </c>
      <c r="JN5" s="262">
        <v>0.31683467112362301</v>
      </c>
      <c r="JO5" s="261">
        <v>33699244.951151997</v>
      </c>
      <c r="JP5" s="261">
        <v>34946429.812417999</v>
      </c>
      <c r="JQ5" s="262">
        <v>-3.5688477133730398E-2</v>
      </c>
      <c r="JR5" s="261">
        <v>33699244.951151997</v>
      </c>
      <c r="JS5" s="261">
        <v>34946429.812417999</v>
      </c>
      <c r="JT5" s="262">
        <v>-3.5688477133730398E-2</v>
      </c>
      <c r="JU5" s="261">
        <v>0</v>
      </c>
      <c r="JV5" s="261">
        <v>0</v>
      </c>
      <c r="JW5" s="262">
        <v>0</v>
      </c>
      <c r="JX5" s="261">
        <v>0</v>
      </c>
      <c r="JY5" s="261">
        <v>0</v>
      </c>
      <c r="JZ5" s="262">
        <v>0</v>
      </c>
      <c r="KA5" s="261">
        <v>0</v>
      </c>
      <c r="KB5" s="261">
        <v>0</v>
      </c>
      <c r="KC5" s="262">
        <v>0</v>
      </c>
      <c r="KD5" s="261">
        <v>0</v>
      </c>
      <c r="KE5" s="261">
        <v>0</v>
      </c>
      <c r="KF5" s="262">
        <v>0</v>
      </c>
      <c r="KG5" s="261">
        <v>0</v>
      </c>
      <c r="KH5" s="261">
        <v>0</v>
      </c>
      <c r="KI5" s="262">
        <v>0</v>
      </c>
      <c r="KJ5" s="261">
        <v>0</v>
      </c>
      <c r="KK5" s="261">
        <v>0</v>
      </c>
      <c r="KL5" s="262">
        <v>0</v>
      </c>
      <c r="KM5" s="261">
        <v>0</v>
      </c>
      <c r="KN5" s="261">
        <v>0</v>
      </c>
      <c r="KO5" s="262">
        <v>0</v>
      </c>
      <c r="KP5" s="261">
        <v>0</v>
      </c>
      <c r="KQ5" s="261">
        <v>0</v>
      </c>
      <c r="KR5" s="262">
        <v>0</v>
      </c>
      <c r="KS5" s="261">
        <v>0</v>
      </c>
      <c r="KT5" s="261">
        <v>0</v>
      </c>
      <c r="KU5" s="262">
        <v>0</v>
      </c>
      <c r="KV5" s="261">
        <v>0</v>
      </c>
      <c r="KW5" s="261">
        <v>287.83499999999998</v>
      </c>
      <c r="KX5" s="262">
        <v>-1</v>
      </c>
      <c r="KY5" s="261">
        <v>339.86099999999999</v>
      </c>
      <c r="KZ5" s="261">
        <v>3389.4409999999998</v>
      </c>
      <c r="LA5" s="262">
        <v>-0.899729483416292</v>
      </c>
      <c r="LB5" s="261">
        <v>339.86099999999999</v>
      </c>
      <c r="LC5" s="261">
        <v>3389.4409999999998</v>
      </c>
      <c r="LD5" s="263">
        <v>-0.899729483416292</v>
      </c>
      <c r="LE5" s="261">
        <v>3209725.3025529999</v>
      </c>
      <c r="LF5" s="261">
        <v>3130285.0609070002</v>
      </c>
      <c r="LG5" s="262">
        <v>2.5377957630153498E-2</v>
      </c>
      <c r="LH5" s="261">
        <v>3209725.3025529999</v>
      </c>
      <c r="LI5" s="261">
        <v>3130285.0609070002</v>
      </c>
      <c r="LJ5" s="262">
        <v>2.5377957630153498E-2</v>
      </c>
      <c r="LK5" s="261">
        <v>33778685.192798004</v>
      </c>
      <c r="LL5" s="261">
        <v>34105081.540660001</v>
      </c>
      <c r="LM5" s="262">
        <v>-9.5703142498829302E-3</v>
      </c>
      <c r="LN5" s="261">
        <v>0</v>
      </c>
      <c r="LO5" s="261">
        <v>0</v>
      </c>
      <c r="LP5" s="262">
        <v>0</v>
      </c>
      <c r="LQ5" s="261">
        <v>0</v>
      </c>
      <c r="LR5" s="261">
        <v>0</v>
      </c>
      <c r="LS5" s="262">
        <v>0</v>
      </c>
      <c r="LT5" s="261">
        <v>0</v>
      </c>
      <c r="LU5" s="261">
        <v>0</v>
      </c>
      <c r="LV5" s="262">
        <v>0</v>
      </c>
      <c r="LW5" s="261">
        <v>0</v>
      </c>
      <c r="LX5" s="261">
        <v>0</v>
      </c>
      <c r="LY5" s="262">
        <v>0</v>
      </c>
      <c r="LZ5" s="261">
        <v>0</v>
      </c>
      <c r="MA5" s="261">
        <v>0</v>
      </c>
      <c r="MB5" s="262">
        <v>0</v>
      </c>
      <c r="MC5" s="261">
        <v>0</v>
      </c>
      <c r="MD5" s="261">
        <v>0</v>
      </c>
      <c r="ME5" s="262">
        <v>0</v>
      </c>
      <c r="MF5" s="261">
        <v>0</v>
      </c>
      <c r="MG5" s="261">
        <v>0</v>
      </c>
      <c r="MH5" s="262">
        <v>0</v>
      </c>
      <c r="MI5" s="261">
        <v>0</v>
      </c>
      <c r="MJ5" s="261">
        <v>0</v>
      </c>
      <c r="MK5" s="262">
        <v>0</v>
      </c>
      <c r="ML5" s="261">
        <v>0</v>
      </c>
      <c r="MM5" s="261">
        <v>0</v>
      </c>
      <c r="MN5" s="262">
        <v>0</v>
      </c>
      <c r="MO5" s="261">
        <v>0</v>
      </c>
      <c r="MP5" s="261">
        <v>285.24200000000002</v>
      </c>
      <c r="MQ5" s="262">
        <v>-1</v>
      </c>
      <c r="MR5" s="261">
        <v>0</v>
      </c>
      <c r="MS5" s="261">
        <v>285.24200000000002</v>
      </c>
      <c r="MT5" s="262">
        <v>-1</v>
      </c>
      <c r="MU5" s="261">
        <v>54.619</v>
      </c>
      <c r="MV5" s="261">
        <v>3378.4409999999998</v>
      </c>
      <c r="MW5" s="263">
        <v>-0.98383307567010903</v>
      </c>
      <c r="MX5" s="261">
        <v>4434768.4537009997</v>
      </c>
      <c r="MY5" s="261">
        <v>4134320.5979280001</v>
      </c>
      <c r="MZ5" s="262">
        <v>7.2671639428150706E-2</v>
      </c>
      <c r="NA5" s="261">
        <v>7644493.7562539997</v>
      </c>
      <c r="NB5" s="261">
        <v>7264605.6588350004</v>
      </c>
      <c r="NC5" s="262">
        <v>5.2293010145291398E-2</v>
      </c>
      <c r="ND5" s="261">
        <v>34079133.048570998</v>
      </c>
      <c r="NE5" s="261">
        <v>35197425.934840001</v>
      </c>
      <c r="NF5" s="262">
        <v>-3.1772007655879897E-2</v>
      </c>
      <c r="NG5" s="261">
        <v>0</v>
      </c>
      <c r="NH5" s="261">
        <v>0</v>
      </c>
      <c r="NI5" s="262">
        <v>0</v>
      </c>
      <c r="NJ5" s="261">
        <v>0</v>
      </c>
      <c r="NK5" s="261">
        <v>0</v>
      </c>
      <c r="NL5" s="262">
        <v>0</v>
      </c>
      <c r="NM5" s="261">
        <v>0</v>
      </c>
      <c r="NN5" s="261">
        <v>0</v>
      </c>
      <c r="NO5" s="262">
        <v>0</v>
      </c>
      <c r="NP5" s="261">
        <v>0</v>
      </c>
      <c r="NQ5" s="261">
        <v>0</v>
      </c>
      <c r="NR5" s="262">
        <v>0</v>
      </c>
      <c r="NS5" s="261">
        <v>0</v>
      </c>
      <c r="NT5" s="261">
        <v>0</v>
      </c>
      <c r="NU5" s="262">
        <v>0</v>
      </c>
      <c r="NV5" s="261">
        <v>0</v>
      </c>
      <c r="NW5" s="261">
        <v>0</v>
      </c>
      <c r="NX5" s="262">
        <v>0</v>
      </c>
      <c r="NY5" s="261">
        <v>0</v>
      </c>
      <c r="NZ5" s="261">
        <v>0</v>
      </c>
      <c r="OA5" s="262">
        <v>0</v>
      </c>
      <c r="OB5" s="261">
        <v>0</v>
      </c>
      <c r="OC5" s="261">
        <v>0</v>
      </c>
      <c r="OD5" s="262">
        <v>0</v>
      </c>
      <c r="OE5" s="261">
        <v>0</v>
      </c>
      <c r="OF5" s="261">
        <v>0</v>
      </c>
      <c r="OG5" s="262">
        <v>0</v>
      </c>
      <c r="OH5" s="261">
        <v>0</v>
      </c>
      <c r="OI5" s="261">
        <v>54.619</v>
      </c>
      <c r="OJ5" s="262">
        <v>-1</v>
      </c>
      <c r="OK5" s="261">
        <v>0</v>
      </c>
      <c r="OL5" s="261">
        <v>339.86099999999999</v>
      </c>
      <c r="OM5" s="262">
        <v>-1</v>
      </c>
      <c r="ON5" s="261">
        <v>0</v>
      </c>
      <c r="OO5" s="261">
        <v>3147.9769999999999</v>
      </c>
      <c r="OP5" s="263">
        <v>-1</v>
      </c>
      <c r="OQ5" s="261">
        <v>4321861.0615379997</v>
      </c>
      <c r="OR5" s="261">
        <v>4152914.6283519999</v>
      </c>
      <c r="OS5" s="262">
        <v>4.0681412527144301E-2</v>
      </c>
      <c r="OT5" s="261">
        <v>11966354.817792</v>
      </c>
      <c r="OU5" s="261">
        <v>11417520.287187001</v>
      </c>
      <c r="OV5" s="262">
        <v>4.8069503429822101E-2</v>
      </c>
      <c r="OW5" s="261">
        <v>34248079.481757</v>
      </c>
      <c r="OX5" s="261">
        <v>34613413.612003997</v>
      </c>
      <c r="OY5" s="262">
        <v>-1.0554698081563899E-2</v>
      </c>
      <c r="OZ5" s="261">
        <v>0</v>
      </c>
      <c r="PA5" s="261">
        <v>0</v>
      </c>
      <c r="PB5" s="262">
        <v>0</v>
      </c>
      <c r="PC5" s="261">
        <v>0</v>
      </c>
      <c r="PD5" s="261">
        <v>0</v>
      </c>
      <c r="PE5" s="262">
        <v>0</v>
      </c>
      <c r="PF5" s="261">
        <v>0</v>
      </c>
      <c r="PG5" s="261">
        <v>0</v>
      </c>
      <c r="PH5" s="262">
        <v>0</v>
      </c>
      <c r="PI5" s="261">
        <v>0</v>
      </c>
      <c r="PJ5" s="261">
        <v>0</v>
      </c>
      <c r="PK5" s="262">
        <v>0</v>
      </c>
      <c r="PL5" s="261">
        <v>0</v>
      </c>
      <c r="PM5" s="261">
        <v>0</v>
      </c>
      <c r="PN5" s="262">
        <v>0</v>
      </c>
      <c r="PO5" s="261">
        <v>0</v>
      </c>
      <c r="PP5" s="261">
        <v>0</v>
      </c>
      <c r="PQ5" s="262">
        <v>0</v>
      </c>
      <c r="PR5" s="261">
        <v>0</v>
      </c>
      <c r="PS5" s="261">
        <v>0</v>
      </c>
      <c r="PT5" s="262">
        <v>0</v>
      </c>
      <c r="PU5" s="261">
        <v>0</v>
      </c>
      <c r="PV5" s="261">
        <v>0</v>
      </c>
      <c r="PW5" s="262">
        <v>0</v>
      </c>
      <c r="PX5" s="261">
        <v>0</v>
      </c>
      <c r="PY5" s="261">
        <v>0</v>
      </c>
      <c r="PZ5" s="262">
        <v>0</v>
      </c>
      <c r="QA5" s="261">
        <v>0</v>
      </c>
      <c r="QB5" s="261">
        <v>0</v>
      </c>
      <c r="QC5" s="262">
        <v>0</v>
      </c>
      <c r="QD5" s="261">
        <v>0</v>
      </c>
      <c r="QE5" s="261">
        <v>339.86099999999999</v>
      </c>
      <c r="QF5" s="262">
        <v>-1</v>
      </c>
      <c r="QG5" s="261">
        <v>0</v>
      </c>
      <c r="QH5" s="261">
        <v>2875.0529999999999</v>
      </c>
      <c r="QI5" s="263">
        <v>-1</v>
      </c>
      <c r="QJ5" s="261">
        <v>2464663.3628059998</v>
      </c>
      <c r="QK5" s="261">
        <v>3947681.2923960001</v>
      </c>
      <c r="QL5" s="262">
        <v>-0.375668099764431</v>
      </c>
      <c r="QM5" s="261">
        <v>14431018.180598</v>
      </c>
      <c r="QN5" s="261">
        <v>15365201.579583</v>
      </c>
      <c r="QO5" s="262">
        <v>-6.0798642578586602E-2</v>
      </c>
      <c r="QP5" s="261">
        <v>32765061.552166998</v>
      </c>
      <c r="QQ5" s="261">
        <v>34496549.410907</v>
      </c>
      <c r="QR5" s="262">
        <v>-5.0193074040980598E-2</v>
      </c>
      <c r="QS5" s="261">
        <v>0</v>
      </c>
      <c r="QT5" s="261">
        <v>0</v>
      </c>
      <c r="QU5" s="262">
        <v>0</v>
      </c>
      <c r="QV5" s="261">
        <v>0</v>
      </c>
      <c r="QW5" s="261">
        <v>0</v>
      </c>
      <c r="QX5" s="262">
        <v>0</v>
      </c>
      <c r="QY5" s="261">
        <v>0</v>
      </c>
      <c r="QZ5" s="261">
        <v>0</v>
      </c>
      <c r="RA5" s="262">
        <v>0</v>
      </c>
      <c r="RB5" s="261">
        <v>0</v>
      </c>
      <c r="RC5" s="261">
        <v>0</v>
      </c>
      <c r="RD5" s="262">
        <v>0</v>
      </c>
      <c r="RE5" s="261">
        <v>0</v>
      </c>
      <c r="RF5" s="261">
        <v>0</v>
      </c>
      <c r="RG5" s="262">
        <v>0</v>
      </c>
      <c r="RH5" s="261">
        <v>0</v>
      </c>
      <c r="RI5" s="261">
        <v>0</v>
      </c>
      <c r="RJ5" s="262">
        <v>0</v>
      </c>
      <c r="RK5" s="261">
        <v>0</v>
      </c>
      <c r="RL5" s="261">
        <v>0</v>
      </c>
      <c r="RM5" s="262">
        <v>0</v>
      </c>
      <c r="RN5" s="261">
        <v>0</v>
      </c>
      <c r="RO5" s="261">
        <v>0</v>
      </c>
      <c r="RP5" s="262">
        <v>0</v>
      </c>
      <c r="RQ5" s="261">
        <v>0</v>
      </c>
      <c r="RR5" s="261">
        <v>0</v>
      </c>
      <c r="RS5" s="262">
        <v>0</v>
      </c>
      <c r="RT5" s="261">
        <v>0</v>
      </c>
      <c r="RU5" s="261">
        <v>0</v>
      </c>
      <c r="RV5" s="262">
        <v>0</v>
      </c>
      <c r="RW5" s="261">
        <v>0</v>
      </c>
      <c r="RX5" s="261">
        <v>339.86099999999999</v>
      </c>
      <c r="RY5" s="262">
        <v>-1</v>
      </c>
      <c r="RZ5" s="261">
        <v>0</v>
      </c>
      <c r="SA5" s="261">
        <v>2616.6460000000002</v>
      </c>
      <c r="SB5" s="263">
        <v>-1</v>
      </c>
      <c r="SC5" s="261">
        <v>2629362.5649720002</v>
      </c>
      <c r="SD5" s="261">
        <v>3580785.766208</v>
      </c>
      <c r="SE5" s="262">
        <v>-0.26570235232015699</v>
      </c>
      <c r="SF5" s="261">
        <v>17060380.74557</v>
      </c>
      <c r="SG5" s="261">
        <v>18945987.345791001</v>
      </c>
      <c r="SH5" s="262">
        <v>-9.9525380536048105E-2</v>
      </c>
      <c r="SI5" s="261">
        <v>31813638.350931</v>
      </c>
      <c r="SJ5" s="261">
        <v>35111923.722949997</v>
      </c>
      <c r="SK5" s="262">
        <v>-9.3936333367663202E-2</v>
      </c>
      <c r="SL5" s="261">
        <v>0</v>
      </c>
      <c r="SM5" s="261">
        <v>0</v>
      </c>
      <c r="SN5" s="262">
        <v>0</v>
      </c>
      <c r="SO5" s="261">
        <v>0</v>
      </c>
      <c r="SP5" s="261">
        <v>0</v>
      </c>
      <c r="SQ5" s="262">
        <v>0</v>
      </c>
      <c r="SR5" s="261">
        <v>0</v>
      </c>
      <c r="SS5" s="261">
        <v>0</v>
      </c>
      <c r="ST5" s="262">
        <v>0</v>
      </c>
      <c r="SU5" s="261">
        <v>0</v>
      </c>
      <c r="SV5" s="261">
        <v>0</v>
      </c>
      <c r="SW5" s="262">
        <v>0</v>
      </c>
      <c r="SX5" s="261">
        <v>0</v>
      </c>
      <c r="SY5" s="261">
        <v>0</v>
      </c>
      <c r="SZ5" s="262">
        <v>0</v>
      </c>
      <c r="TA5" s="261">
        <v>0</v>
      </c>
      <c r="TB5" s="261">
        <v>0</v>
      </c>
      <c r="TC5" s="262">
        <v>0</v>
      </c>
      <c r="TD5" s="261">
        <v>0</v>
      </c>
      <c r="TE5" s="261">
        <v>0</v>
      </c>
      <c r="TF5" s="262">
        <v>0</v>
      </c>
      <c r="TG5" s="261">
        <v>0</v>
      </c>
      <c r="TH5" s="261">
        <v>0</v>
      </c>
      <c r="TI5" s="262">
        <v>0</v>
      </c>
      <c r="TJ5" s="261">
        <v>0</v>
      </c>
      <c r="TK5" s="261">
        <v>0</v>
      </c>
      <c r="TL5" s="262">
        <v>0</v>
      </c>
      <c r="TM5" s="261">
        <v>0</v>
      </c>
      <c r="TN5" s="261">
        <v>0</v>
      </c>
      <c r="TO5" s="262">
        <v>0</v>
      </c>
      <c r="TP5" s="261">
        <v>0</v>
      </c>
      <c r="TQ5" s="261">
        <v>339.86099999999999</v>
      </c>
      <c r="TR5" s="262">
        <v>-1</v>
      </c>
      <c r="TS5" s="261">
        <v>0</v>
      </c>
      <c r="TT5" s="261">
        <v>2334.5140000000001</v>
      </c>
      <c r="TU5" s="263">
        <v>-1</v>
      </c>
      <c r="TV5" s="261">
        <v>2108117.2669939999</v>
      </c>
      <c r="TW5" s="261">
        <v>2409309.8923360002</v>
      </c>
      <c r="TX5" s="262">
        <v>-0.125011990487439</v>
      </c>
      <c r="TY5" s="261">
        <v>19168498.012564</v>
      </c>
      <c r="TZ5" s="261">
        <v>21355297.238127001</v>
      </c>
      <c r="UA5" s="262">
        <v>-0.102400786145873</v>
      </c>
      <c r="UB5" s="261">
        <v>31512445.725589</v>
      </c>
      <c r="UC5" s="261">
        <v>35083176.149887003</v>
      </c>
      <c r="UD5" s="262">
        <v>-0.101778995409157</v>
      </c>
      <c r="UE5" s="261">
        <v>0</v>
      </c>
      <c r="UF5" s="261">
        <v>0</v>
      </c>
      <c r="UG5" s="262">
        <v>0</v>
      </c>
      <c r="UH5" s="261">
        <v>0</v>
      </c>
      <c r="UI5" s="261">
        <v>0</v>
      </c>
      <c r="UJ5" s="262">
        <v>0</v>
      </c>
      <c r="UK5" s="261">
        <v>0</v>
      </c>
      <c r="UL5" s="261">
        <v>0</v>
      </c>
      <c r="UM5" s="262">
        <v>0</v>
      </c>
      <c r="UN5" s="261">
        <v>0</v>
      </c>
      <c r="UO5" s="261">
        <v>0</v>
      </c>
      <c r="UP5" s="262">
        <v>0</v>
      </c>
      <c r="UQ5" s="261">
        <v>0</v>
      </c>
      <c r="UR5" s="261">
        <v>0</v>
      </c>
      <c r="US5" s="262">
        <v>0</v>
      </c>
      <c r="UT5" s="261">
        <v>0</v>
      </c>
      <c r="UU5" s="261">
        <v>0</v>
      </c>
      <c r="UV5" s="262">
        <v>0</v>
      </c>
      <c r="UW5" s="261">
        <v>0</v>
      </c>
      <c r="UX5" s="261">
        <v>0</v>
      </c>
      <c r="UY5" s="262">
        <v>0</v>
      </c>
      <c r="UZ5" s="261">
        <v>0</v>
      </c>
      <c r="VA5" s="261">
        <v>0</v>
      </c>
      <c r="VB5" s="262">
        <v>0</v>
      </c>
      <c r="VC5" s="261">
        <v>0</v>
      </c>
      <c r="VD5" s="261">
        <v>0</v>
      </c>
      <c r="VE5" s="262">
        <v>0</v>
      </c>
      <c r="VF5" s="261">
        <v>73.203000000000003</v>
      </c>
      <c r="VG5" s="261">
        <v>0</v>
      </c>
      <c r="VH5" s="262">
        <v>0</v>
      </c>
      <c r="VI5" s="261">
        <v>73.203000000000003</v>
      </c>
      <c r="VJ5" s="261">
        <v>339.86099999999999</v>
      </c>
      <c r="VK5" s="262">
        <v>-0.78460900191548899</v>
      </c>
      <c r="VL5" s="261">
        <v>73.203000000000003</v>
      </c>
      <c r="VM5" s="261">
        <v>2059.0990000000002</v>
      </c>
      <c r="VN5" s="263">
        <v>-0.96444901386480197</v>
      </c>
    </row>
    <row r="6" spans="1:586">
      <c r="A6" s="267" t="s">
        <v>3</v>
      </c>
      <c r="B6" s="261">
        <v>4096380.2540000002</v>
      </c>
      <c r="C6" s="261">
        <v>4365764.8140000002</v>
      </c>
      <c r="D6" s="262">
        <v>-6.17038643804508E-2</v>
      </c>
      <c r="E6" s="261">
        <v>24952188.094999999</v>
      </c>
      <c r="F6" s="261">
        <v>24651648.327</v>
      </c>
      <c r="G6" s="262">
        <v>1.2191467443206601E-2</v>
      </c>
      <c r="H6" s="261">
        <v>52691342.704999998</v>
      </c>
      <c r="I6" s="261">
        <v>52020713.575999998</v>
      </c>
      <c r="J6" s="262">
        <v>1.2891578813509399E-2</v>
      </c>
      <c r="K6" s="261">
        <v>0</v>
      </c>
      <c r="L6" s="261">
        <v>0</v>
      </c>
      <c r="M6" s="262">
        <v>0</v>
      </c>
      <c r="N6" s="261">
        <v>0</v>
      </c>
      <c r="O6" s="261">
        <v>0</v>
      </c>
      <c r="P6" s="262">
        <v>0</v>
      </c>
      <c r="Q6" s="261">
        <v>0</v>
      </c>
      <c r="R6" s="261">
        <v>0</v>
      </c>
      <c r="S6" s="262">
        <v>0</v>
      </c>
      <c r="T6" s="261">
        <v>0</v>
      </c>
      <c r="U6" s="261">
        <v>0</v>
      </c>
      <c r="V6" s="262">
        <v>0</v>
      </c>
      <c r="W6" s="261">
        <v>0</v>
      </c>
      <c r="X6" s="261">
        <v>0</v>
      </c>
      <c r="Y6" s="262">
        <v>0</v>
      </c>
      <c r="Z6" s="261">
        <v>0</v>
      </c>
      <c r="AA6" s="261">
        <v>0</v>
      </c>
      <c r="AB6" s="262">
        <v>0</v>
      </c>
      <c r="AC6" s="261">
        <v>0</v>
      </c>
      <c r="AD6" s="261">
        <v>0</v>
      </c>
      <c r="AE6" s="262">
        <v>0</v>
      </c>
      <c r="AF6" s="261">
        <v>0</v>
      </c>
      <c r="AG6" s="261">
        <v>0</v>
      </c>
      <c r="AH6" s="262">
        <v>0</v>
      </c>
      <c r="AI6" s="261">
        <v>0</v>
      </c>
      <c r="AJ6" s="261">
        <v>0</v>
      </c>
      <c r="AK6" s="262">
        <v>0</v>
      </c>
      <c r="AL6" s="261">
        <v>0</v>
      </c>
      <c r="AM6" s="261">
        <v>0</v>
      </c>
      <c r="AN6" s="262">
        <v>0</v>
      </c>
      <c r="AO6" s="261">
        <v>0</v>
      </c>
      <c r="AP6" s="261">
        <v>0</v>
      </c>
      <c r="AQ6" s="262">
        <v>0</v>
      </c>
      <c r="AR6" s="261">
        <v>0</v>
      </c>
      <c r="AS6" s="261">
        <v>0</v>
      </c>
      <c r="AT6" s="263">
        <v>0</v>
      </c>
      <c r="AU6" s="261">
        <v>5062982.6639999999</v>
      </c>
      <c r="AV6" s="261">
        <v>5078745.102</v>
      </c>
      <c r="AW6" s="262">
        <v>-3.10360880166891E-3</v>
      </c>
      <c r="AX6" s="261">
        <v>30015170.759</v>
      </c>
      <c r="AY6" s="261">
        <v>29730393.429000001</v>
      </c>
      <c r="AZ6" s="262">
        <v>9.5786599891482492E-3</v>
      </c>
      <c r="BA6" s="261">
        <v>52675580.266999997</v>
      </c>
      <c r="BB6" s="261">
        <v>51942783.151000001</v>
      </c>
      <c r="BC6" s="262">
        <v>1.410777535485E-2</v>
      </c>
      <c r="BD6" s="261">
        <v>0</v>
      </c>
      <c r="BE6" s="261">
        <v>0</v>
      </c>
      <c r="BF6" s="262">
        <v>0</v>
      </c>
      <c r="BG6" s="261">
        <v>0</v>
      </c>
      <c r="BH6" s="261">
        <v>0</v>
      </c>
      <c r="BI6" s="262">
        <v>0</v>
      </c>
      <c r="BJ6" s="261">
        <v>0</v>
      </c>
      <c r="BK6" s="261">
        <v>0</v>
      </c>
      <c r="BL6" s="262">
        <v>0</v>
      </c>
      <c r="BM6" s="261">
        <v>0</v>
      </c>
      <c r="BN6" s="261">
        <v>0</v>
      </c>
      <c r="BO6" s="262">
        <v>0</v>
      </c>
      <c r="BP6" s="261">
        <v>0</v>
      </c>
      <c r="BQ6" s="261">
        <v>0</v>
      </c>
      <c r="BR6" s="262">
        <v>0</v>
      </c>
      <c r="BS6" s="261">
        <v>0</v>
      </c>
      <c r="BT6" s="261">
        <v>0</v>
      </c>
      <c r="BU6" s="262">
        <v>0</v>
      </c>
      <c r="BV6" s="261">
        <v>0</v>
      </c>
      <c r="BW6" s="261">
        <v>0</v>
      </c>
      <c r="BX6" s="262">
        <v>0</v>
      </c>
      <c r="BY6" s="261">
        <v>0</v>
      </c>
      <c r="BZ6" s="261">
        <v>0</v>
      </c>
      <c r="CA6" s="262">
        <v>0</v>
      </c>
      <c r="CB6" s="261">
        <v>0</v>
      </c>
      <c r="CC6" s="261">
        <v>0</v>
      </c>
      <c r="CD6" s="262">
        <v>0</v>
      </c>
      <c r="CE6" s="261">
        <v>0</v>
      </c>
      <c r="CF6" s="261">
        <v>0</v>
      </c>
      <c r="CG6" s="262">
        <v>0</v>
      </c>
      <c r="CH6" s="261">
        <v>0</v>
      </c>
      <c r="CI6" s="261">
        <v>0</v>
      </c>
      <c r="CJ6" s="262">
        <v>0</v>
      </c>
      <c r="CK6" s="261">
        <v>0</v>
      </c>
      <c r="CL6" s="261">
        <v>0</v>
      </c>
      <c r="CM6" s="263">
        <v>0</v>
      </c>
      <c r="CN6" s="261">
        <v>5094839.5760000004</v>
      </c>
      <c r="CO6" s="261">
        <v>5127963.6950000003</v>
      </c>
      <c r="CP6" s="262">
        <v>-6.4595073152131496E-3</v>
      </c>
      <c r="CQ6" s="261">
        <v>35110010.335000001</v>
      </c>
      <c r="CR6" s="261">
        <v>34858357.123999998</v>
      </c>
      <c r="CS6" s="262">
        <v>7.2193078435913898E-3</v>
      </c>
      <c r="CT6" s="261">
        <v>52642456.148000002</v>
      </c>
      <c r="CU6" s="261">
        <v>52027883.001000002</v>
      </c>
      <c r="CV6" s="262">
        <v>1.18123804304739E-2</v>
      </c>
      <c r="CW6" s="261">
        <v>0</v>
      </c>
      <c r="CX6" s="261">
        <v>0</v>
      </c>
      <c r="CY6" s="262">
        <v>0</v>
      </c>
      <c r="CZ6" s="261">
        <v>0</v>
      </c>
      <c r="DA6" s="261">
        <v>0</v>
      </c>
      <c r="DB6" s="262">
        <v>0</v>
      </c>
      <c r="DC6" s="261">
        <v>0</v>
      </c>
      <c r="DD6" s="261">
        <v>0</v>
      </c>
      <c r="DE6" s="262">
        <v>0</v>
      </c>
      <c r="DF6" s="261">
        <v>0</v>
      </c>
      <c r="DG6" s="261">
        <v>0</v>
      </c>
      <c r="DH6" s="262">
        <v>0</v>
      </c>
      <c r="DI6" s="261">
        <v>0</v>
      </c>
      <c r="DJ6" s="261">
        <v>0</v>
      </c>
      <c r="DK6" s="262">
        <v>0</v>
      </c>
      <c r="DL6" s="261">
        <v>0</v>
      </c>
      <c r="DM6" s="261">
        <v>0</v>
      </c>
      <c r="DN6" s="262">
        <v>0</v>
      </c>
      <c r="DO6" s="261">
        <v>0</v>
      </c>
      <c r="DP6" s="261">
        <v>0</v>
      </c>
      <c r="DQ6" s="262">
        <v>0</v>
      </c>
      <c r="DR6" s="261">
        <v>0</v>
      </c>
      <c r="DS6" s="261">
        <v>0</v>
      </c>
      <c r="DT6" s="262">
        <v>0</v>
      </c>
      <c r="DU6" s="261">
        <v>0</v>
      </c>
      <c r="DV6" s="261">
        <v>0</v>
      </c>
      <c r="DW6" s="262">
        <v>0</v>
      </c>
      <c r="DX6" s="261">
        <v>0</v>
      </c>
      <c r="DY6" s="261">
        <v>0</v>
      </c>
      <c r="DZ6" s="262">
        <v>0</v>
      </c>
      <c r="EA6" s="261">
        <v>0</v>
      </c>
      <c r="EB6" s="261">
        <v>0</v>
      </c>
      <c r="EC6" s="262">
        <v>0</v>
      </c>
      <c r="ED6" s="261">
        <v>0</v>
      </c>
      <c r="EE6" s="261">
        <v>0</v>
      </c>
      <c r="EF6" s="263">
        <v>0</v>
      </c>
      <c r="EG6" s="261">
        <v>4538216.0970000001</v>
      </c>
      <c r="EH6" s="261">
        <v>5016585.2709999997</v>
      </c>
      <c r="EI6" s="262">
        <v>-9.5357528708894496E-2</v>
      </c>
      <c r="EJ6" s="261">
        <v>39648226.431999996</v>
      </c>
      <c r="EK6" s="261">
        <v>39874942.395000003</v>
      </c>
      <c r="EL6" s="262">
        <v>-5.6856749974499099E-3</v>
      </c>
      <c r="EM6" s="261">
        <v>52164086.973999999</v>
      </c>
      <c r="EN6" s="261">
        <v>52455100.568999998</v>
      </c>
      <c r="EO6" s="262">
        <v>-5.5478607769933897E-3</v>
      </c>
      <c r="EP6" s="261">
        <v>0</v>
      </c>
      <c r="EQ6" s="261">
        <v>0</v>
      </c>
      <c r="ER6" s="262">
        <v>0</v>
      </c>
      <c r="ES6" s="261">
        <v>0</v>
      </c>
      <c r="ET6" s="261">
        <v>0</v>
      </c>
      <c r="EU6" s="262">
        <v>0</v>
      </c>
      <c r="EV6" s="261">
        <v>0</v>
      </c>
      <c r="EW6" s="261">
        <v>0</v>
      </c>
      <c r="EX6" s="262">
        <v>0</v>
      </c>
      <c r="EY6" s="261">
        <v>0</v>
      </c>
      <c r="EZ6" s="261">
        <v>0</v>
      </c>
      <c r="FA6" s="262">
        <v>0</v>
      </c>
      <c r="FB6" s="261">
        <v>0</v>
      </c>
      <c r="FC6" s="261">
        <v>0</v>
      </c>
      <c r="FD6" s="262">
        <v>0</v>
      </c>
      <c r="FE6" s="261">
        <v>0</v>
      </c>
      <c r="FF6" s="261">
        <v>0</v>
      </c>
      <c r="FG6" s="262">
        <v>0</v>
      </c>
      <c r="FH6" s="261">
        <v>0</v>
      </c>
      <c r="FI6" s="261">
        <v>0</v>
      </c>
      <c r="FJ6" s="262">
        <v>0</v>
      </c>
      <c r="FK6" s="261">
        <v>0</v>
      </c>
      <c r="FL6" s="261">
        <v>0</v>
      </c>
      <c r="FM6" s="262">
        <v>0</v>
      </c>
      <c r="FN6" s="261">
        <v>0</v>
      </c>
      <c r="FO6" s="261">
        <v>0</v>
      </c>
      <c r="FP6" s="262">
        <v>0</v>
      </c>
      <c r="FQ6" s="261">
        <v>0</v>
      </c>
      <c r="FR6" s="261">
        <v>0</v>
      </c>
      <c r="FS6" s="262">
        <v>0</v>
      </c>
      <c r="FT6" s="261">
        <v>0</v>
      </c>
      <c r="FU6" s="261">
        <v>0</v>
      </c>
      <c r="FV6" s="262">
        <v>0</v>
      </c>
      <c r="FW6" s="261">
        <v>0</v>
      </c>
      <c r="FX6" s="261">
        <v>0</v>
      </c>
      <c r="FY6" s="263">
        <v>0</v>
      </c>
      <c r="FZ6" s="261">
        <v>3695799.7659999998</v>
      </c>
      <c r="GA6" s="261">
        <v>4636156.5559999999</v>
      </c>
      <c r="GB6" s="262">
        <v>-0.20283111207342899</v>
      </c>
      <c r="GC6" s="261">
        <v>43344026.197999999</v>
      </c>
      <c r="GD6" s="261">
        <v>44511098.950999998</v>
      </c>
      <c r="GE6" s="262">
        <v>-2.6219814394714699E-2</v>
      </c>
      <c r="GF6" s="261">
        <v>51223730.184</v>
      </c>
      <c r="GG6" s="261">
        <v>53307096.637000002</v>
      </c>
      <c r="GH6" s="262">
        <v>-3.9082347087609999E-2</v>
      </c>
      <c r="GI6" s="261">
        <v>0</v>
      </c>
      <c r="GJ6" s="261">
        <v>0</v>
      </c>
      <c r="GK6" s="262">
        <v>0</v>
      </c>
      <c r="GL6" s="261">
        <v>0</v>
      </c>
      <c r="GM6" s="261">
        <v>0</v>
      </c>
      <c r="GN6" s="262">
        <v>0</v>
      </c>
      <c r="GO6" s="261">
        <v>0</v>
      </c>
      <c r="GP6" s="261">
        <v>0</v>
      </c>
      <c r="GQ6" s="262">
        <v>0</v>
      </c>
      <c r="GR6" s="261">
        <v>0</v>
      </c>
      <c r="GS6" s="261">
        <v>0</v>
      </c>
      <c r="GT6" s="262">
        <v>0</v>
      </c>
      <c r="GU6" s="261">
        <v>0</v>
      </c>
      <c r="GV6" s="261">
        <v>0</v>
      </c>
      <c r="GW6" s="262">
        <v>0</v>
      </c>
      <c r="GX6" s="261">
        <v>0</v>
      </c>
      <c r="GY6" s="261">
        <v>0</v>
      </c>
      <c r="GZ6" s="262">
        <v>0</v>
      </c>
      <c r="HA6" s="261">
        <v>0</v>
      </c>
      <c r="HB6" s="261">
        <v>0</v>
      </c>
      <c r="HC6" s="262">
        <v>0</v>
      </c>
      <c r="HD6" s="261">
        <v>0</v>
      </c>
      <c r="HE6" s="261">
        <v>0</v>
      </c>
      <c r="HF6" s="262">
        <v>0</v>
      </c>
      <c r="HG6" s="261">
        <v>0</v>
      </c>
      <c r="HH6" s="261">
        <v>0</v>
      </c>
      <c r="HI6" s="262">
        <v>0</v>
      </c>
      <c r="HJ6" s="261">
        <v>0</v>
      </c>
      <c r="HK6" s="261">
        <v>0</v>
      </c>
      <c r="HL6" s="262">
        <v>0</v>
      </c>
      <c r="HM6" s="261">
        <v>0</v>
      </c>
      <c r="HN6" s="261">
        <v>0</v>
      </c>
      <c r="HO6" s="262">
        <v>0</v>
      </c>
      <c r="HP6" s="261">
        <v>0</v>
      </c>
      <c r="HQ6" s="261">
        <v>0</v>
      </c>
      <c r="HR6" s="263">
        <v>0</v>
      </c>
      <c r="HS6" s="261">
        <v>3682677.054</v>
      </c>
      <c r="HT6" s="261">
        <v>3631614.6009999998</v>
      </c>
      <c r="HU6" s="262">
        <v>1.4060537422098601E-2</v>
      </c>
      <c r="HV6" s="261">
        <v>47026703.251999997</v>
      </c>
      <c r="HW6" s="261">
        <v>48142713.552000001</v>
      </c>
      <c r="HX6" s="262">
        <v>-2.3181291989172501E-2</v>
      </c>
      <c r="HY6" s="261">
        <v>51274792.637000002</v>
      </c>
      <c r="HZ6" s="261">
        <v>53155054.226999998</v>
      </c>
      <c r="IA6" s="262">
        <v>-3.5373147809619199E-2</v>
      </c>
      <c r="IB6" s="261">
        <v>0</v>
      </c>
      <c r="IC6" s="261">
        <v>0</v>
      </c>
      <c r="ID6" s="262">
        <v>0</v>
      </c>
      <c r="IE6" s="261">
        <v>0</v>
      </c>
      <c r="IF6" s="261">
        <v>0</v>
      </c>
      <c r="IG6" s="262">
        <v>0</v>
      </c>
      <c r="IH6" s="261">
        <v>0</v>
      </c>
      <c r="II6" s="261">
        <v>0</v>
      </c>
      <c r="IJ6" s="262">
        <v>0</v>
      </c>
      <c r="IK6" s="261">
        <v>0</v>
      </c>
      <c r="IL6" s="261">
        <v>0</v>
      </c>
      <c r="IM6" s="262">
        <v>0</v>
      </c>
      <c r="IN6" s="261">
        <v>0</v>
      </c>
      <c r="IO6" s="261">
        <v>0</v>
      </c>
      <c r="IP6" s="262">
        <v>0</v>
      </c>
      <c r="IQ6" s="261">
        <v>0</v>
      </c>
      <c r="IR6" s="261">
        <v>0</v>
      </c>
      <c r="IS6" s="262">
        <v>0</v>
      </c>
      <c r="IT6" s="261">
        <v>0</v>
      </c>
      <c r="IU6" s="261">
        <v>0</v>
      </c>
      <c r="IV6" s="262">
        <v>0</v>
      </c>
      <c r="IW6" s="261">
        <v>0</v>
      </c>
      <c r="IX6" s="261">
        <v>0</v>
      </c>
      <c r="IY6" s="262">
        <v>0</v>
      </c>
      <c r="IZ6" s="261">
        <v>0</v>
      </c>
      <c r="JA6" s="261">
        <v>0</v>
      </c>
      <c r="JB6" s="262">
        <v>0</v>
      </c>
      <c r="JC6" s="261">
        <v>0</v>
      </c>
      <c r="JD6" s="261">
        <v>0</v>
      </c>
      <c r="JE6" s="262">
        <v>0</v>
      </c>
      <c r="JF6" s="261">
        <v>0</v>
      </c>
      <c r="JG6" s="261">
        <v>0</v>
      </c>
      <c r="JH6" s="262">
        <v>0</v>
      </c>
      <c r="JI6" s="261">
        <v>0</v>
      </c>
      <c r="JJ6" s="261">
        <v>0</v>
      </c>
      <c r="JK6" s="263">
        <v>0</v>
      </c>
      <c r="JL6" s="261">
        <v>4820199.8669999996</v>
      </c>
      <c r="JM6" s="261">
        <v>4248089.3849999998</v>
      </c>
      <c r="JN6" s="262">
        <v>0.134674774975339</v>
      </c>
      <c r="JO6" s="261">
        <v>51846903.119000003</v>
      </c>
      <c r="JP6" s="261">
        <v>52390802.936999999</v>
      </c>
      <c r="JQ6" s="262">
        <v>-1.03815896590483E-2</v>
      </c>
      <c r="JR6" s="261">
        <v>51846903.119000003</v>
      </c>
      <c r="JS6" s="261">
        <v>52390802.936999999</v>
      </c>
      <c r="JT6" s="262">
        <v>-1.03815896590483E-2</v>
      </c>
      <c r="JU6" s="261">
        <v>0</v>
      </c>
      <c r="JV6" s="261">
        <v>0</v>
      </c>
      <c r="JW6" s="262">
        <v>0</v>
      </c>
      <c r="JX6" s="261">
        <v>0</v>
      </c>
      <c r="JY6" s="261">
        <v>0</v>
      </c>
      <c r="JZ6" s="262">
        <v>0</v>
      </c>
      <c r="KA6" s="261">
        <v>0</v>
      </c>
      <c r="KB6" s="261">
        <v>0</v>
      </c>
      <c r="KC6" s="262">
        <v>0</v>
      </c>
      <c r="KD6" s="261">
        <v>0</v>
      </c>
      <c r="KE6" s="261">
        <v>0</v>
      </c>
      <c r="KF6" s="262">
        <v>0</v>
      </c>
      <c r="KG6" s="261">
        <v>0</v>
      </c>
      <c r="KH6" s="261">
        <v>0</v>
      </c>
      <c r="KI6" s="262">
        <v>0</v>
      </c>
      <c r="KJ6" s="261">
        <v>0</v>
      </c>
      <c r="KK6" s="261">
        <v>0</v>
      </c>
      <c r="KL6" s="262">
        <v>0</v>
      </c>
      <c r="KM6" s="261">
        <v>0</v>
      </c>
      <c r="KN6" s="261">
        <v>0</v>
      </c>
      <c r="KO6" s="262">
        <v>0</v>
      </c>
      <c r="KP6" s="261">
        <v>0</v>
      </c>
      <c r="KQ6" s="261">
        <v>0</v>
      </c>
      <c r="KR6" s="262">
        <v>0</v>
      </c>
      <c r="KS6" s="261">
        <v>0</v>
      </c>
      <c r="KT6" s="261">
        <v>0</v>
      </c>
      <c r="KU6" s="262">
        <v>0</v>
      </c>
      <c r="KV6" s="261">
        <v>0</v>
      </c>
      <c r="KW6" s="261">
        <v>0</v>
      </c>
      <c r="KX6" s="262">
        <v>0</v>
      </c>
      <c r="KY6" s="261">
        <v>0</v>
      </c>
      <c r="KZ6" s="261">
        <v>0</v>
      </c>
      <c r="LA6" s="262">
        <v>0</v>
      </c>
      <c r="LB6" s="261">
        <v>0</v>
      </c>
      <c r="LC6" s="261">
        <v>0</v>
      </c>
      <c r="LD6" s="263">
        <v>0</v>
      </c>
      <c r="LE6" s="261">
        <v>5248554.7819999997</v>
      </c>
      <c r="LF6" s="261">
        <v>5226016.4349999996</v>
      </c>
      <c r="LG6" s="262">
        <v>4.3127202679759799E-3</v>
      </c>
      <c r="LH6" s="261">
        <v>5248554.7819999997</v>
      </c>
      <c r="LI6" s="261">
        <v>5226016.4349999996</v>
      </c>
      <c r="LJ6" s="262">
        <v>4.3127202679759799E-3</v>
      </c>
      <c r="LK6" s="261">
        <v>51869441.465999998</v>
      </c>
      <c r="LL6" s="261">
        <v>52436933.446000002</v>
      </c>
      <c r="LM6" s="262">
        <v>-1.08223716130237E-2</v>
      </c>
      <c r="LN6" s="261">
        <v>0</v>
      </c>
      <c r="LO6" s="261">
        <v>0</v>
      </c>
      <c r="LP6" s="262">
        <v>0</v>
      </c>
      <c r="LQ6" s="261">
        <v>0</v>
      </c>
      <c r="LR6" s="261">
        <v>0</v>
      </c>
      <c r="LS6" s="262">
        <v>0</v>
      </c>
      <c r="LT6" s="261">
        <v>0</v>
      </c>
      <c r="LU6" s="261">
        <v>0</v>
      </c>
      <c r="LV6" s="262">
        <v>0</v>
      </c>
      <c r="LW6" s="261">
        <v>0</v>
      </c>
      <c r="LX6" s="261">
        <v>0</v>
      </c>
      <c r="LY6" s="262">
        <v>0</v>
      </c>
      <c r="LZ6" s="261">
        <v>0</v>
      </c>
      <c r="MA6" s="261">
        <v>0</v>
      </c>
      <c r="MB6" s="262">
        <v>0</v>
      </c>
      <c r="MC6" s="261">
        <v>0</v>
      </c>
      <c r="MD6" s="261">
        <v>0</v>
      </c>
      <c r="ME6" s="262">
        <v>0</v>
      </c>
      <c r="MF6" s="261">
        <v>0</v>
      </c>
      <c r="MG6" s="261">
        <v>0</v>
      </c>
      <c r="MH6" s="262">
        <v>0</v>
      </c>
      <c r="MI6" s="261">
        <v>0</v>
      </c>
      <c r="MJ6" s="261">
        <v>0</v>
      </c>
      <c r="MK6" s="262">
        <v>0</v>
      </c>
      <c r="ML6" s="261">
        <v>0</v>
      </c>
      <c r="MM6" s="261">
        <v>0</v>
      </c>
      <c r="MN6" s="262">
        <v>0</v>
      </c>
      <c r="MO6" s="261">
        <v>0</v>
      </c>
      <c r="MP6" s="261">
        <v>0</v>
      </c>
      <c r="MQ6" s="262">
        <v>0</v>
      </c>
      <c r="MR6" s="261">
        <v>0</v>
      </c>
      <c r="MS6" s="261">
        <v>0</v>
      </c>
      <c r="MT6" s="262">
        <v>0</v>
      </c>
      <c r="MU6" s="261">
        <v>0</v>
      </c>
      <c r="MV6" s="261">
        <v>0</v>
      </c>
      <c r="MW6" s="263">
        <v>0</v>
      </c>
      <c r="MX6" s="261">
        <v>4031605.3810000001</v>
      </c>
      <c r="MY6" s="261">
        <v>4737450.693</v>
      </c>
      <c r="MZ6" s="262">
        <v>-0.14899264556841699</v>
      </c>
      <c r="NA6" s="261">
        <v>9280160.1630000006</v>
      </c>
      <c r="NB6" s="261">
        <v>9963467.1280000005</v>
      </c>
      <c r="NC6" s="262">
        <v>-6.8581243478961801E-2</v>
      </c>
      <c r="ND6" s="261">
        <v>51163596.153999999</v>
      </c>
      <c r="NE6" s="261">
        <v>52645106.057999998</v>
      </c>
      <c r="NF6" s="262">
        <v>-2.8141455396970699E-2</v>
      </c>
      <c r="NG6" s="261">
        <v>0</v>
      </c>
      <c r="NH6" s="261">
        <v>0</v>
      </c>
      <c r="NI6" s="262">
        <v>0</v>
      </c>
      <c r="NJ6" s="261">
        <v>0</v>
      </c>
      <c r="NK6" s="261">
        <v>0</v>
      </c>
      <c r="NL6" s="262">
        <v>0</v>
      </c>
      <c r="NM6" s="261">
        <v>0</v>
      </c>
      <c r="NN6" s="261">
        <v>0</v>
      </c>
      <c r="NO6" s="262">
        <v>0</v>
      </c>
      <c r="NP6" s="261">
        <v>0</v>
      </c>
      <c r="NQ6" s="261">
        <v>0</v>
      </c>
      <c r="NR6" s="262">
        <v>0</v>
      </c>
      <c r="NS6" s="261">
        <v>0</v>
      </c>
      <c r="NT6" s="261">
        <v>0</v>
      </c>
      <c r="NU6" s="262">
        <v>0</v>
      </c>
      <c r="NV6" s="261">
        <v>0</v>
      </c>
      <c r="NW6" s="261">
        <v>0</v>
      </c>
      <c r="NX6" s="262">
        <v>0</v>
      </c>
      <c r="NY6" s="261">
        <v>0</v>
      </c>
      <c r="NZ6" s="261">
        <v>0</v>
      </c>
      <c r="OA6" s="262">
        <v>0</v>
      </c>
      <c r="OB6" s="261">
        <v>0</v>
      </c>
      <c r="OC6" s="261">
        <v>0</v>
      </c>
      <c r="OD6" s="262">
        <v>0</v>
      </c>
      <c r="OE6" s="261">
        <v>0</v>
      </c>
      <c r="OF6" s="261">
        <v>0</v>
      </c>
      <c r="OG6" s="262">
        <v>0</v>
      </c>
      <c r="OH6" s="261">
        <v>0</v>
      </c>
      <c r="OI6" s="261">
        <v>0</v>
      </c>
      <c r="OJ6" s="262">
        <v>0</v>
      </c>
      <c r="OK6" s="261">
        <v>0</v>
      </c>
      <c r="OL6" s="261">
        <v>0</v>
      </c>
      <c r="OM6" s="262">
        <v>0</v>
      </c>
      <c r="ON6" s="261">
        <v>0</v>
      </c>
      <c r="OO6" s="261">
        <v>0</v>
      </c>
      <c r="OP6" s="263">
        <v>0</v>
      </c>
      <c r="OQ6" s="261">
        <v>3921096.6310000001</v>
      </c>
      <c r="OR6" s="261">
        <v>4878049.8619999997</v>
      </c>
      <c r="OS6" s="262">
        <v>-0.19617536886095899</v>
      </c>
      <c r="OT6" s="261">
        <v>13201256.794</v>
      </c>
      <c r="OU6" s="261">
        <v>14841516.99</v>
      </c>
      <c r="OV6" s="262">
        <v>-0.11051836527931599</v>
      </c>
      <c r="OW6" s="261">
        <v>50206642.923</v>
      </c>
      <c r="OX6" s="261">
        <v>54015373.468999997</v>
      </c>
      <c r="OY6" s="262">
        <v>-7.0511972821697994E-2</v>
      </c>
      <c r="OZ6" s="261">
        <v>0</v>
      </c>
      <c r="PA6" s="261">
        <v>0</v>
      </c>
      <c r="PB6" s="262">
        <v>0</v>
      </c>
      <c r="PC6" s="261">
        <v>0</v>
      </c>
      <c r="PD6" s="261">
        <v>0</v>
      </c>
      <c r="PE6" s="262">
        <v>0</v>
      </c>
      <c r="PF6" s="261">
        <v>0</v>
      </c>
      <c r="PG6" s="261">
        <v>0</v>
      </c>
      <c r="PH6" s="262">
        <v>0</v>
      </c>
      <c r="PI6" s="261">
        <v>0</v>
      </c>
      <c r="PJ6" s="261">
        <v>0</v>
      </c>
      <c r="PK6" s="262">
        <v>0</v>
      </c>
      <c r="PL6" s="261">
        <v>0</v>
      </c>
      <c r="PM6" s="261">
        <v>0</v>
      </c>
      <c r="PN6" s="262">
        <v>0</v>
      </c>
      <c r="PO6" s="261">
        <v>0</v>
      </c>
      <c r="PP6" s="261">
        <v>0</v>
      </c>
      <c r="PQ6" s="262">
        <v>0</v>
      </c>
      <c r="PR6" s="261">
        <v>0</v>
      </c>
      <c r="PS6" s="261">
        <v>0</v>
      </c>
      <c r="PT6" s="262">
        <v>0</v>
      </c>
      <c r="PU6" s="261">
        <v>0</v>
      </c>
      <c r="PV6" s="261">
        <v>0</v>
      </c>
      <c r="PW6" s="262">
        <v>0</v>
      </c>
      <c r="PX6" s="261">
        <v>0</v>
      </c>
      <c r="PY6" s="261">
        <v>0</v>
      </c>
      <c r="PZ6" s="262">
        <v>0</v>
      </c>
      <c r="QA6" s="261">
        <v>0</v>
      </c>
      <c r="QB6" s="261">
        <v>0</v>
      </c>
      <c r="QC6" s="262">
        <v>0</v>
      </c>
      <c r="QD6" s="261">
        <v>0</v>
      </c>
      <c r="QE6" s="261">
        <v>0</v>
      </c>
      <c r="QF6" s="262">
        <v>0</v>
      </c>
      <c r="QG6" s="261">
        <v>0</v>
      </c>
      <c r="QH6" s="261">
        <v>0</v>
      </c>
      <c r="QI6" s="263">
        <v>0</v>
      </c>
      <c r="QJ6" s="261">
        <v>3891829.7609999999</v>
      </c>
      <c r="QK6" s="261">
        <v>2951810.6639999999</v>
      </c>
      <c r="QL6" s="262">
        <v>0.31845507859443101</v>
      </c>
      <c r="QM6" s="261">
        <v>17093086.555</v>
      </c>
      <c r="QN6" s="261">
        <v>17793327.653999999</v>
      </c>
      <c r="QO6" s="262">
        <v>-3.9354139518842798E-2</v>
      </c>
      <c r="QP6" s="261">
        <v>51146662.020000003</v>
      </c>
      <c r="QQ6" s="261">
        <v>53441320.369999997</v>
      </c>
      <c r="QR6" s="262">
        <v>-4.2937905240981497E-2</v>
      </c>
      <c r="QS6" s="261">
        <v>0</v>
      </c>
      <c r="QT6" s="261">
        <v>0</v>
      </c>
      <c r="QU6" s="262">
        <v>0</v>
      </c>
      <c r="QV6" s="261">
        <v>0</v>
      </c>
      <c r="QW6" s="261">
        <v>0</v>
      </c>
      <c r="QX6" s="262">
        <v>0</v>
      </c>
      <c r="QY6" s="261">
        <v>0</v>
      </c>
      <c r="QZ6" s="261">
        <v>0</v>
      </c>
      <c r="RA6" s="262">
        <v>0</v>
      </c>
      <c r="RB6" s="261">
        <v>0</v>
      </c>
      <c r="RC6" s="261">
        <v>0</v>
      </c>
      <c r="RD6" s="262">
        <v>0</v>
      </c>
      <c r="RE6" s="261">
        <v>0</v>
      </c>
      <c r="RF6" s="261">
        <v>0</v>
      </c>
      <c r="RG6" s="262">
        <v>0</v>
      </c>
      <c r="RH6" s="261">
        <v>0</v>
      </c>
      <c r="RI6" s="261">
        <v>0</v>
      </c>
      <c r="RJ6" s="262">
        <v>0</v>
      </c>
      <c r="RK6" s="261">
        <v>0</v>
      </c>
      <c r="RL6" s="261">
        <v>0</v>
      </c>
      <c r="RM6" s="262">
        <v>0</v>
      </c>
      <c r="RN6" s="261">
        <v>0</v>
      </c>
      <c r="RO6" s="261">
        <v>0</v>
      </c>
      <c r="RP6" s="262">
        <v>0</v>
      </c>
      <c r="RQ6" s="261">
        <v>0</v>
      </c>
      <c r="RR6" s="261">
        <v>0</v>
      </c>
      <c r="RS6" s="262">
        <v>0</v>
      </c>
      <c r="RT6" s="261">
        <v>0</v>
      </c>
      <c r="RU6" s="261">
        <v>0</v>
      </c>
      <c r="RV6" s="262">
        <v>0</v>
      </c>
      <c r="RW6" s="261">
        <v>0</v>
      </c>
      <c r="RX6" s="261">
        <v>0</v>
      </c>
      <c r="RY6" s="262">
        <v>0</v>
      </c>
      <c r="RZ6" s="261">
        <v>0</v>
      </c>
      <c r="SA6" s="261">
        <v>0</v>
      </c>
      <c r="SB6" s="263">
        <v>0</v>
      </c>
      <c r="SC6" s="261">
        <v>3758565.7220000001</v>
      </c>
      <c r="SD6" s="261">
        <v>3062480.1869999999</v>
      </c>
      <c r="SE6" s="262">
        <v>0.22729470641306701</v>
      </c>
      <c r="SF6" s="261">
        <v>20851652.276999999</v>
      </c>
      <c r="SG6" s="261">
        <v>20855807.840999998</v>
      </c>
      <c r="SH6" s="262">
        <v>-1.99252123517842E-4</v>
      </c>
      <c r="SI6" s="261">
        <v>51842747.555</v>
      </c>
      <c r="SJ6" s="261">
        <v>52960727.265000001</v>
      </c>
      <c r="SK6" s="262">
        <v>-2.11095988996895E-2</v>
      </c>
      <c r="SL6" s="261">
        <v>0</v>
      </c>
      <c r="SM6" s="261">
        <v>0</v>
      </c>
      <c r="SN6" s="262">
        <v>0</v>
      </c>
      <c r="SO6" s="261">
        <v>0</v>
      </c>
      <c r="SP6" s="261">
        <v>0</v>
      </c>
      <c r="SQ6" s="262">
        <v>0</v>
      </c>
      <c r="SR6" s="261">
        <v>0</v>
      </c>
      <c r="SS6" s="261">
        <v>0</v>
      </c>
      <c r="ST6" s="262">
        <v>0</v>
      </c>
      <c r="SU6" s="261">
        <v>0</v>
      </c>
      <c r="SV6" s="261">
        <v>0</v>
      </c>
      <c r="SW6" s="262">
        <v>0</v>
      </c>
      <c r="SX6" s="261">
        <v>0</v>
      </c>
      <c r="SY6" s="261">
        <v>0</v>
      </c>
      <c r="SZ6" s="262">
        <v>0</v>
      </c>
      <c r="TA6" s="261">
        <v>0</v>
      </c>
      <c r="TB6" s="261">
        <v>0</v>
      </c>
      <c r="TC6" s="262">
        <v>0</v>
      </c>
      <c r="TD6" s="261">
        <v>0</v>
      </c>
      <c r="TE6" s="261">
        <v>0</v>
      </c>
      <c r="TF6" s="262">
        <v>0</v>
      </c>
      <c r="TG6" s="261">
        <v>0</v>
      </c>
      <c r="TH6" s="261">
        <v>0</v>
      </c>
      <c r="TI6" s="262">
        <v>0</v>
      </c>
      <c r="TJ6" s="261">
        <v>0</v>
      </c>
      <c r="TK6" s="261">
        <v>0</v>
      </c>
      <c r="TL6" s="262">
        <v>0</v>
      </c>
      <c r="TM6" s="261">
        <v>0</v>
      </c>
      <c r="TN6" s="261">
        <v>0</v>
      </c>
      <c r="TO6" s="262">
        <v>0</v>
      </c>
      <c r="TP6" s="261">
        <v>0</v>
      </c>
      <c r="TQ6" s="261">
        <v>0</v>
      </c>
      <c r="TR6" s="262">
        <v>0</v>
      </c>
      <c r="TS6" s="261">
        <v>0</v>
      </c>
      <c r="TT6" s="261">
        <v>0</v>
      </c>
      <c r="TU6" s="263">
        <v>0</v>
      </c>
      <c r="TV6" s="261">
        <v>4457563.5389999999</v>
      </c>
      <c r="TW6" s="261">
        <v>4096380.2540000002</v>
      </c>
      <c r="TX6" s="262">
        <v>8.8171327514655007E-2</v>
      </c>
      <c r="TY6" s="261">
        <v>25309215.816</v>
      </c>
      <c r="TZ6" s="261">
        <v>24952188.094999999</v>
      </c>
      <c r="UA6" s="262">
        <v>1.43084734549409E-2</v>
      </c>
      <c r="UB6" s="261">
        <v>52203930.840000004</v>
      </c>
      <c r="UC6" s="261">
        <v>52691342.704999998</v>
      </c>
      <c r="UD6" s="262">
        <v>-9.2503215894276895E-3</v>
      </c>
      <c r="UE6" s="261">
        <v>0</v>
      </c>
      <c r="UF6" s="261">
        <v>0</v>
      </c>
      <c r="UG6" s="262">
        <v>0</v>
      </c>
      <c r="UH6" s="261">
        <v>0</v>
      </c>
      <c r="UI6" s="261">
        <v>0</v>
      </c>
      <c r="UJ6" s="262">
        <v>0</v>
      </c>
      <c r="UK6" s="261">
        <v>0</v>
      </c>
      <c r="UL6" s="261">
        <v>0</v>
      </c>
      <c r="UM6" s="262">
        <v>0</v>
      </c>
      <c r="UN6" s="261">
        <v>0</v>
      </c>
      <c r="UO6" s="261">
        <v>0</v>
      </c>
      <c r="UP6" s="262">
        <v>0</v>
      </c>
      <c r="UQ6" s="261">
        <v>0</v>
      </c>
      <c r="UR6" s="261">
        <v>0</v>
      </c>
      <c r="US6" s="262">
        <v>0</v>
      </c>
      <c r="UT6" s="261">
        <v>0</v>
      </c>
      <c r="UU6" s="261">
        <v>0</v>
      </c>
      <c r="UV6" s="262">
        <v>0</v>
      </c>
      <c r="UW6" s="261">
        <v>0</v>
      </c>
      <c r="UX6" s="261">
        <v>0</v>
      </c>
      <c r="UY6" s="262">
        <v>0</v>
      </c>
      <c r="UZ6" s="261">
        <v>0</v>
      </c>
      <c r="VA6" s="261">
        <v>0</v>
      </c>
      <c r="VB6" s="262">
        <v>0</v>
      </c>
      <c r="VC6" s="261">
        <v>0</v>
      </c>
      <c r="VD6" s="261">
        <v>0</v>
      </c>
      <c r="VE6" s="262">
        <v>0</v>
      </c>
      <c r="VF6" s="261">
        <v>0</v>
      </c>
      <c r="VG6" s="261">
        <v>0</v>
      </c>
      <c r="VH6" s="262">
        <v>0</v>
      </c>
      <c r="VI6" s="261">
        <v>0</v>
      </c>
      <c r="VJ6" s="261">
        <v>0</v>
      </c>
      <c r="VK6" s="262">
        <v>0</v>
      </c>
      <c r="VL6" s="261">
        <v>0</v>
      </c>
      <c r="VM6" s="261">
        <v>0</v>
      </c>
      <c r="VN6" s="263">
        <v>0</v>
      </c>
    </row>
    <row r="7" spans="1:586">
      <c r="A7" s="267" t="s">
        <v>4</v>
      </c>
      <c r="B7" s="261">
        <v>154141.783</v>
      </c>
      <c r="C7" s="261">
        <v>190868.32699999999</v>
      </c>
      <c r="D7" s="262">
        <v>-0.19241822138462999</v>
      </c>
      <c r="E7" s="261">
        <v>1234034.4439999999</v>
      </c>
      <c r="F7" s="261">
        <v>1323908.2279999999</v>
      </c>
      <c r="G7" s="262">
        <v>-6.7885206919342606E-2</v>
      </c>
      <c r="H7" s="261">
        <v>2882515.29</v>
      </c>
      <c r="I7" s="261">
        <v>3270497.0320000001</v>
      </c>
      <c r="J7" s="262">
        <v>-0.11863081917024</v>
      </c>
      <c r="K7" s="261">
        <v>0</v>
      </c>
      <c r="L7" s="261">
        <v>0</v>
      </c>
      <c r="M7" s="262">
        <v>0</v>
      </c>
      <c r="N7" s="261">
        <v>0</v>
      </c>
      <c r="O7" s="261">
        <v>0</v>
      </c>
      <c r="P7" s="262">
        <v>0</v>
      </c>
      <c r="Q7" s="261">
        <v>0</v>
      </c>
      <c r="R7" s="261">
        <v>0</v>
      </c>
      <c r="S7" s="262">
        <v>0</v>
      </c>
      <c r="T7" s="261">
        <v>0</v>
      </c>
      <c r="U7" s="261">
        <v>0</v>
      </c>
      <c r="V7" s="262">
        <v>0</v>
      </c>
      <c r="W7" s="261">
        <v>0</v>
      </c>
      <c r="X7" s="261">
        <v>0</v>
      </c>
      <c r="Y7" s="262">
        <v>0</v>
      </c>
      <c r="Z7" s="261">
        <v>0</v>
      </c>
      <c r="AA7" s="261">
        <v>0</v>
      </c>
      <c r="AB7" s="262">
        <v>0</v>
      </c>
      <c r="AC7" s="261">
        <v>0</v>
      </c>
      <c r="AD7" s="261">
        <v>29836.831999999999</v>
      </c>
      <c r="AE7" s="262">
        <v>-1</v>
      </c>
      <c r="AF7" s="261">
        <v>95245.187999999995</v>
      </c>
      <c r="AG7" s="261">
        <v>54988.536</v>
      </c>
      <c r="AH7" s="262">
        <v>0.73209172180906901</v>
      </c>
      <c r="AI7" s="261">
        <v>98307.392000000007</v>
      </c>
      <c r="AJ7" s="261">
        <v>126209.92</v>
      </c>
      <c r="AK7" s="262">
        <v>-0.221080308108903</v>
      </c>
      <c r="AL7" s="261">
        <v>0</v>
      </c>
      <c r="AM7" s="261">
        <v>0</v>
      </c>
      <c r="AN7" s="262">
        <v>0</v>
      </c>
      <c r="AO7" s="261">
        <v>0</v>
      </c>
      <c r="AP7" s="261">
        <v>0</v>
      </c>
      <c r="AQ7" s="262">
        <v>0</v>
      </c>
      <c r="AR7" s="261">
        <v>0</v>
      </c>
      <c r="AS7" s="261">
        <v>0</v>
      </c>
      <c r="AT7" s="263">
        <v>0</v>
      </c>
      <c r="AU7" s="261">
        <v>105938.849</v>
      </c>
      <c r="AV7" s="261">
        <v>210529.611</v>
      </c>
      <c r="AW7" s="262">
        <v>-0.49679834348812801</v>
      </c>
      <c r="AX7" s="261">
        <v>1339973.2930000001</v>
      </c>
      <c r="AY7" s="261">
        <v>1534437.8389999999</v>
      </c>
      <c r="AZ7" s="262">
        <v>-0.126733414060444</v>
      </c>
      <c r="BA7" s="261">
        <v>2777924.5279999999</v>
      </c>
      <c r="BB7" s="261">
        <v>3193293.656</v>
      </c>
      <c r="BC7" s="262">
        <v>-0.13007545586029901</v>
      </c>
      <c r="BD7" s="261">
        <v>0</v>
      </c>
      <c r="BE7" s="261">
        <v>0</v>
      </c>
      <c r="BF7" s="262">
        <v>0</v>
      </c>
      <c r="BG7" s="261">
        <v>0</v>
      </c>
      <c r="BH7" s="261">
        <v>0</v>
      </c>
      <c r="BI7" s="262">
        <v>0</v>
      </c>
      <c r="BJ7" s="261">
        <v>0</v>
      </c>
      <c r="BK7" s="261">
        <v>0</v>
      </c>
      <c r="BL7" s="262">
        <v>0</v>
      </c>
      <c r="BM7" s="261">
        <v>0</v>
      </c>
      <c r="BN7" s="261">
        <v>0</v>
      </c>
      <c r="BO7" s="262">
        <v>0</v>
      </c>
      <c r="BP7" s="261">
        <v>0</v>
      </c>
      <c r="BQ7" s="261">
        <v>0</v>
      </c>
      <c r="BR7" s="262">
        <v>0</v>
      </c>
      <c r="BS7" s="261">
        <v>0</v>
      </c>
      <c r="BT7" s="261">
        <v>0</v>
      </c>
      <c r="BU7" s="262">
        <v>0</v>
      </c>
      <c r="BV7" s="261">
        <v>0</v>
      </c>
      <c r="BW7" s="261">
        <v>3062.2040000000002</v>
      </c>
      <c r="BX7" s="262">
        <v>-1</v>
      </c>
      <c r="BY7" s="261">
        <v>95245.187999999995</v>
      </c>
      <c r="BZ7" s="261">
        <v>58050.74</v>
      </c>
      <c r="CA7" s="262">
        <v>0.64072306399539403</v>
      </c>
      <c r="CB7" s="261">
        <v>95245.187999999995</v>
      </c>
      <c r="CC7" s="261">
        <v>68883.034</v>
      </c>
      <c r="CD7" s="262">
        <v>0.38270895558984802</v>
      </c>
      <c r="CE7" s="261">
        <v>0</v>
      </c>
      <c r="CF7" s="261">
        <v>0</v>
      </c>
      <c r="CG7" s="262">
        <v>0</v>
      </c>
      <c r="CH7" s="261">
        <v>0</v>
      </c>
      <c r="CI7" s="261">
        <v>0</v>
      </c>
      <c r="CJ7" s="262">
        <v>0</v>
      </c>
      <c r="CK7" s="261">
        <v>0</v>
      </c>
      <c r="CL7" s="261">
        <v>0</v>
      </c>
      <c r="CM7" s="263">
        <v>0</v>
      </c>
      <c r="CN7" s="261">
        <v>0.11</v>
      </c>
      <c r="CO7" s="261">
        <v>224373.74799999999</v>
      </c>
      <c r="CP7" s="262">
        <v>-0.99999950974656804</v>
      </c>
      <c r="CQ7" s="261">
        <v>1339973.4029999999</v>
      </c>
      <c r="CR7" s="261">
        <v>1758811.5870000001</v>
      </c>
      <c r="CS7" s="262">
        <v>-0.23813703929163399</v>
      </c>
      <c r="CT7" s="261">
        <v>2553550.89</v>
      </c>
      <c r="CU7" s="261">
        <v>3001035.449</v>
      </c>
      <c r="CV7" s="262">
        <v>-0.149110054381101</v>
      </c>
      <c r="CW7" s="261">
        <v>0</v>
      </c>
      <c r="CX7" s="261">
        <v>0</v>
      </c>
      <c r="CY7" s="262">
        <v>0</v>
      </c>
      <c r="CZ7" s="261">
        <v>0</v>
      </c>
      <c r="DA7" s="261">
        <v>0</v>
      </c>
      <c r="DB7" s="262">
        <v>0</v>
      </c>
      <c r="DC7" s="261">
        <v>0</v>
      </c>
      <c r="DD7" s="261">
        <v>0</v>
      </c>
      <c r="DE7" s="262">
        <v>0</v>
      </c>
      <c r="DF7" s="261">
        <v>0</v>
      </c>
      <c r="DG7" s="261">
        <v>0</v>
      </c>
      <c r="DH7" s="262">
        <v>0</v>
      </c>
      <c r="DI7" s="261">
        <v>0</v>
      </c>
      <c r="DJ7" s="261">
        <v>0</v>
      </c>
      <c r="DK7" s="262">
        <v>0</v>
      </c>
      <c r="DL7" s="261">
        <v>0</v>
      </c>
      <c r="DM7" s="261">
        <v>0</v>
      </c>
      <c r="DN7" s="262">
        <v>0</v>
      </c>
      <c r="DO7" s="261">
        <v>0</v>
      </c>
      <c r="DP7" s="261">
        <v>0</v>
      </c>
      <c r="DQ7" s="262">
        <v>0</v>
      </c>
      <c r="DR7" s="261">
        <v>95245.187999999995</v>
      </c>
      <c r="DS7" s="261">
        <v>58050.74</v>
      </c>
      <c r="DT7" s="262">
        <v>0.64072306399539403</v>
      </c>
      <c r="DU7" s="261">
        <v>95245.187999999995</v>
      </c>
      <c r="DV7" s="261">
        <v>58050.74</v>
      </c>
      <c r="DW7" s="262">
        <v>0.64072306399539403</v>
      </c>
      <c r="DX7" s="261">
        <v>0</v>
      </c>
      <c r="DY7" s="261">
        <v>0</v>
      </c>
      <c r="DZ7" s="262">
        <v>0</v>
      </c>
      <c r="EA7" s="261">
        <v>0</v>
      </c>
      <c r="EB7" s="261">
        <v>0</v>
      </c>
      <c r="EC7" s="262">
        <v>0</v>
      </c>
      <c r="ED7" s="261">
        <v>0</v>
      </c>
      <c r="EE7" s="261">
        <v>0</v>
      </c>
      <c r="EF7" s="263">
        <v>0</v>
      </c>
      <c r="EG7" s="261">
        <v>7238.9179999999997</v>
      </c>
      <c r="EH7" s="261">
        <v>300028.86499999999</v>
      </c>
      <c r="EI7" s="262">
        <v>-0.97587259479183797</v>
      </c>
      <c r="EJ7" s="261">
        <v>1347212.321</v>
      </c>
      <c r="EK7" s="261">
        <v>2058840.452</v>
      </c>
      <c r="EL7" s="262">
        <v>-0.34564510829807599</v>
      </c>
      <c r="EM7" s="261">
        <v>2260760.943</v>
      </c>
      <c r="EN7" s="261">
        <v>2889191.8319999999</v>
      </c>
      <c r="EO7" s="262">
        <v>-0.217510959999142</v>
      </c>
      <c r="EP7" s="261">
        <v>0</v>
      </c>
      <c r="EQ7" s="261">
        <v>0</v>
      </c>
      <c r="ER7" s="262">
        <v>0</v>
      </c>
      <c r="ES7" s="261">
        <v>0</v>
      </c>
      <c r="ET7" s="261">
        <v>0</v>
      </c>
      <c r="EU7" s="262">
        <v>0</v>
      </c>
      <c r="EV7" s="261">
        <v>0</v>
      </c>
      <c r="EW7" s="261">
        <v>0</v>
      </c>
      <c r="EX7" s="262">
        <v>0</v>
      </c>
      <c r="EY7" s="261">
        <v>0</v>
      </c>
      <c r="EZ7" s="261">
        <v>0</v>
      </c>
      <c r="FA7" s="262">
        <v>0</v>
      </c>
      <c r="FB7" s="261">
        <v>0</v>
      </c>
      <c r="FC7" s="261">
        <v>0</v>
      </c>
      <c r="FD7" s="262">
        <v>0</v>
      </c>
      <c r="FE7" s="261">
        <v>0</v>
      </c>
      <c r="FF7" s="261">
        <v>0</v>
      </c>
      <c r="FG7" s="262">
        <v>0</v>
      </c>
      <c r="FH7" s="261">
        <v>0</v>
      </c>
      <c r="FI7" s="261">
        <v>0</v>
      </c>
      <c r="FJ7" s="262">
        <v>0</v>
      </c>
      <c r="FK7" s="261">
        <v>95245.187999999995</v>
      </c>
      <c r="FL7" s="261">
        <v>58050.74</v>
      </c>
      <c r="FM7" s="262">
        <v>0.64072306399539403</v>
      </c>
      <c r="FN7" s="261">
        <v>95245.187999999995</v>
      </c>
      <c r="FO7" s="261">
        <v>58050.74</v>
      </c>
      <c r="FP7" s="262">
        <v>0.64072306399539403</v>
      </c>
      <c r="FQ7" s="261">
        <v>0</v>
      </c>
      <c r="FR7" s="261">
        <v>0</v>
      </c>
      <c r="FS7" s="262">
        <v>0</v>
      </c>
      <c r="FT7" s="261">
        <v>0</v>
      </c>
      <c r="FU7" s="261">
        <v>0</v>
      </c>
      <c r="FV7" s="262">
        <v>0</v>
      </c>
      <c r="FW7" s="261">
        <v>0</v>
      </c>
      <c r="FX7" s="261">
        <v>0</v>
      </c>
      <c r="FY7" s="263">
        <v>0</v>
      </c>
      <c r="FZ7" s="261">
        <v>20979.159</v>
      </c>
      <c r="GA7" s="261">
        <v>310385.93599999999</v>
      </c>
      <c r="GB7" s="262">
        <v>-0.93240944074218601</v>
      </c>
      <c r="GC7" s="261">
        <v>1368191.48</v>
      </c>
      <c r="GD7" s="261">
        <v>2369226.3879999998</v>
      </c>
      <c r="GE7" s="262">
        <v>-0.42251551522057401</v>
      </c>
      <c r="GF7" s="261">
        <v>1971354.166</v>
      </c>
      <c r="GG7" s="261">
        <v>2817275.5980000002</v>
      </c>
      <c r="GH7" s="262">
        <v>-0.30026222234009498</v>
      </c>
      <c r="GI7" s="261">
        <v>0</v>
      </c>
      <c r="GJ7" s="261">
        <v>0</v>
      </c>
      <c r="GK7" s="262">
        <v>0</v>
      </c>
      <c r="GL7" s="261">
        <v>0</v>
      </c>
      <c r="GM7" s="261">
        <v>0</v>
      </c>
      <c r="GN7" s="262">
        <v>0</v>
      </c>
      <c r="GO7" s="261">
        <v>0</v>
      </c>
      <c r="GP7" s="261">
        <v>0</v>
      </c>
      <c r="GQ7" s="262">
        <v>0</v>
      </c>
      <c r="GR7" s="261">
        <v>0</v>
      </c>
      <c r="GS7" s="261">
        <v>0</v>
      </c>
      <c r="GT7" s="262">
        <v>0</v>
      </c>
      <c r="GU7" s="261">
        <v>0</v>
      </c>
      <c r="GV7" s="261">
        <v>0</v>
      </c>
      <c r="GW7" s="262">
        <v>0</v>
      </c>
      <c r="GX7" s="261">
        <v>0</v>
      </c>
      <c r="GY7" s="261">
        <v>0</v>
      </c>
      <c r="GZ7" s="262">
        <v>0</v>
      </c>
      <c r="HA7" s="261">
        <v>0</v>
      </c>
      <c r="HB7" s="261">
        <v>0</v>
      </c>
      <c r="HC7" s="262">
        <v>0</v>
      </c>
      <c r="HD7" s="261">
        <v>95245.187999999995</v>
      </c>
      <c r="HE7" s="261">
        <v>58050.74</v>
      </c>
      <c r="HF7" s="262">
        <v>0.64072306399539403</v>
      </c>
      <c r="HG7" s="261">
        <v>95245.187999999995</v>
      </c>
      <c r="HH7" s="261">
        <v>58050.74</v>
      </c>
      <c r="HI7" s="262">
        <v>0.64072306399539403</v>
      </c>
      <c r="HJ7" s="261">
        <v>0</v>
      </c>
      <c r="HK7" s="261">
        <v>0</v>
      </c>
      <c r="HL7" s="262">
        <v>0</v>
      </c>
      <c r="HM7" s="261">
        <v>0</v>
      </c>
      <c r="HN7" s="261">
        <v>0</v>
      </c>
      <c r="HO7" s="262">
        <v>0</v>
      </c>
      <c r="HP7" s="261">
        <v>0</v>
      </c>
      <c r="HQ7" s="261">
        <v>0</v>
      </c>
      <c r="HR7" s="263">
        <v>0</v>
      </c>
      <c r="HS7" s="261">
        <v>5388.7809999999999</v>
      </c>
      <c r="HT7" s="261">
        <v>288076.16899999999</v>
      </c>
      <c r="HU7" s="262">
        <v>-0.98129390216932499</v>
      </c>
      <c r="HV7" s="261">
        <v>1373580.2609999999</v>
      </c>
      <c r="HW7" s="261">
        <v>2657302.557</v>
      </c>
      <c r="HX7" s="262">
        <v>-0.483092259335827</v>
      </c>
      <c r="HY7" s="261">
        <v>1688666.7779999999</v>
      </c>
      <c r="HZ7" s="261">
        <v>2877276.9279999998</v>
      </c>
      <c r="IA7" s="262">
        <v>-0.41310245059595502</v>
      </c>
      <c r="IB7" s="261">
        <v>0</v>
      </c>
      <c r="IC7" s="261">
        <v>0</v>
      </c>
      <c r="ID7" s="262">
        <v>0</v>
      </c>
      <c r="IE7" s="261">
        <v>0</v>
      </c>
      <c r="IF7" s="261">
        <v>0</v>
      </c>
      <c r="IG7" s="262">
        <v>0</v>
      </c>
      <c r="IH7" s="261">
        <v>0</v>
      </c>
      <c r="II7" s="261">
        <v>0</v>
      </c>
      <c r="IJ7" s="262">
        <v>0</v>
      </c>
      <c r="IK7" s="261">
        <v>0</v>
      </c>
      <c r="IL7" s="261">
        <v>0</v>
      </c>
      <c r="IM7" s="262">
        <v>0</v>
      </c>
      <c r="IN7" s="261">
        <v>0</v>
      </c>
      <c r="IO7" s="261">
        <v>0</v>
      </c>
      <c r="IP7" s="262">
        <v>0</v>
      </c>
      <c r="IQ7" s="261">
        <v>0</v>
      </c>
      <c r="IR7" s="261">
        <v>0</v>
      </c>
      <c r="IS7" s="262">
        <v>0</v>
      </c>
      <c r="IT7" s="261">
        <v>0</v>
      </c>
      <c r="IU7" s="261">
        <v>0</v>
      </c>
      <c r="IV7" s="262">
        <v>0</v>
      </c>
      <c r="IW7" s="261">
        <v>95245.187999999995</v>
      </c>
      <c r="IX7" s="261">
        <v>58050.74</v>
      </c>
      <c r="IY7" s="262">
        <v>0.64072306399539403</v>
      </c>
      <c r="IZ7" s="261">
        <v>95245.187999999995</v>
      </c>
      <c r="JA7" s="261">
        <v>58050.74</v>
      </c>
      <c r="JB7" s="262">
        <v>0.64072306399539403</v>
      </c>
      <c r="JC7" s="261">
        <v>0</v>
      </c>
      <c r="JD7" s="261">
        <v>0</v>
      </c>
      <c r="JE7" s="262">
        <v>0</v>
      </c>
      <c r="JF7" s="261">
        <v>0</v>
      </c>
      <c r="JG7" s="261">
        <v>0</v>
      </c>
      <c r="JH7" s="262">
        <v>0</v>
      </c>
      <c r="JI7" s="261">
        <v>0</v>
      </c>
      <c r="JJ7" s="261">
        <v>0</v>
      </c>
      <c r="JK7" s="263">
        <v>0</v>
      </c>
      <c r="JL7" s="261">
        <v>46750.101000000002</v>
      </c>
      <c r="JM7" s="261">
        <v>315086.51699999999</v>
      </c>
      <c r="JN7" s="262">
        <v>-0.85162773245546397</v>
      </c>
      <c r="JO7" s="261">
        <v>1420330.362</v>
      </c>
      <c r="JP7" s="261">
        <v>2972389.074</v>
      </c>
      <c r="JQ7" s="262">
        <v>-0.52215866542375799</v>
      </c>
      <c r="JR7" s="261">
        <v>1420330.362</v>
      </c>
      <c r="JS7" s="261">
        <v>2972389.074</v>
      </c>
      <c r="JT7" s="262">
        <v>-0.52215866542375799</v>
      </c>
      <c r="JU7" s="261">
        <v>0</v>
      </c>
      <c r="JV7" s="261">
        <v>0</v>
      </c>
      <c r="JW7" s="262">
        <v>0</v>
      </c>
      <c r="JX7" s="261">
        <v>0</v>
      </c>
      <c r="JY7" s="261">
        <v>0</v>
      </c>
      <c r="JZ7" s="262">
        <v>0</v>
      </c>
      <c r="KA7" s="261">
        <v>0</v>
      </c>
      <c r="KB7" s="261">
        <v>0</v>
      </c>
      <c r="KC7" s="262">
        <v>0</v>
      </c>
      <c r="KD7" s="261">
        <v>0</v>
      </c>
      <c r="KE7" s="261">
        <v>0</v>
      </c>
      <c r="KF7" s="262">
        <v>0</v>
      </c>
      <c r="KG7" s="261">
        <v>0</v>
      </c>
      <c r="KH7" s="261">
        <v>0</v>
      </c>
      <c r="KI7" s="262">
        <v>0</v>
      </c>
      <c r="KJ7" s="261">
        <v>0</v>
      </c>
      <c r="KK7" s="261">
        <v>0</v>
      </c>
      <c r="KL7" s="262">
        <v>0</v>
      </c>
      <c r="KM7" s="261">
        <v>0</v>
      </c>
      <c r="KN7" s="261">
        <v>0</v>
      </c>
      <c r="KO7" s="262">
        <v>0</v>
      </c>
      <c r="KP7" s="261">
        <v>95245.187999999995</v>
      </c>
      <c r="KQ7" s="261">
        <v>58050.74</v>
      </c>
      <c r="KR7" s="262">
        <v>0.64072306399539403</v>
      </c>
      <c r="KS7" s="261">
        <v>95245.187999999995</v>
      </c>
      <c r="KT7" s="261">
        <v>58050.74</v>
      </c>
      <c r="KU7" s="262">
        <v>0.64072306399539403</v>
      </c>
      <c r="KV7" s="261">
        <v>0</v>
      </c>
      <c r="KW7" s="261">
        <v>0</v>
      </c>
      <c r="KX7" s="262">
        <v>0</v>
      </c>
      <c r="KY7" s="261">
        <v>0</v>
      </c>
      <c r="KZ7" s="261">
        <v>0</v>
      </c>
      <c r="LA7" s="262">
        <v>0</v>
      </c>
      <c r="LB7" s="261">
        <v>0</v>
      </c>
      <c r="LC7" s="261">
        <v>0</v>
      </c>
      <c r="LD7" s="263">
        <v>0</v>
      </c>
      <c r="LE7" s="261">
        <v>20188.559000000001</v>
      </c>
      <c r="LF7" s="261">
        <v>297469.81800000003</v>
      </c>
      <c r="LG7" s="262">
        <v>-0.93213241216962694</v>
      </c>
      <c r="LH7" s="261">
        <v>20188.559000000001</v>
      </c>
      <c r="LI7" s="261">
        <v>297469.81800000003</v>
      </c>
      <c r="LJ7" s="262">
        <v>-0.93213241216962694</v>
      </c>
      <c r="LK7" s="261">
        <v>1143049.1029999999</v>
      </c>
      <c r="LL7" s="261">
        <v>2995900.5380000002</v>
      </c>
      <c r="LM7" s="262">
        <v>-0.61846226585243202</v>
      </c>
      <c r="LN7" s="261">
        <v>0</v>
      </c>
      <c r="LO7" s="261">
        <v>0</v>
      </c>
      <c r="LP7" s="262">
        <v>0</v>
      </c>
      <c r="LQ7" s="261">
        <v>0</v>
      </c>
      <c r="LR7" s="261">
        <v>0</v>
      </c>
      <c r="LS7" s="262">
        <v>0</v>
      </c>
      <c r="LT7" s="261">
        <v>0</v>
      </c>
      <c r="LU7" s="261">
        <v>0</v>
      </c>
      <c r="LV7" s="262">
        <v>0</v>
      </c>
      <c r="LW7" s="261">
        <v>0</v>
      </c>
      <c r="LX7" s="261">
        <v>0</v>
      </c>
      <c r="LY7" s="262">
        <v>0</v>
      </c>
      <c r="LZ7" s="261">
        <v>0</v>
      </c>
      <c r="MA7" s="261">
        <v>0</v>
      </c>
      <c r="MB7" s="262">
        <v>0</v>
      </c>
      <c r="MC7" s="261">
        <v>0</v>
      </c>
      <c r="MD7" s="261">
        <v>0</v>
      </c>
      <c r="ME7" s="262">
        <v>0</v>
      </c>
      <c r="MF7" s="261">
        <v>0</v>
      </c>
      <c r="MG7" s="261">
        <v>4631.9679999999998</v>
      </c>
      <c r="MH7" s="262">
        <v>-1</v>
      </c>
      <c r="MI7" s="261">
        <v>0</v>
      </c>
      <c r="MJ7" s="261">
        <v>4631.9679999999998</v>
      </c>
      <c r="MK7" s="262">
        <v>-1</v>
      </c>
      <c r="ML7" s="261">
        <v>90613.22</v>
      </c>
      <c r="MM7" s="261">
        <v>62682.707999999999</v>
      </c>
      <c r="MN7" s="262">
        <v>0.44558559914163298</v>
      </c>
      <c r="MO7" s="261">
        <v>0</v>
      </c>
      <c r="MP7" s="261">
        <v>0</v>
      </c>
      <c r="MQ7" s="262">
        <v>0</v>
      </c>
      <c r="MR7" s="261">
        <v>0</v>
      </c>
      <c r="MS7" s="261">
        <v>0</v>
      </c>
      <c r="MT7" s="262">
        <v>0</v>
      </c>
      <c r="MU7" s="261">
        <v>0</v>
      </c>
      <c r="MV7" s="261">
        <v>0</v>
      </c>
      <c r="MW7" s="263">
        <v>0</v>
      </c>
      <c r="MX7" s="261">
        <v>0.104</v>
      </c>
      <c r="MY7" s="261">
        <v>278055.158</v>
      </c>
      <c r="MZ7" s="262">
        <v>-0.99999962597349101</v>
      </c>
      <c r="NA7" s="261">
        <v>20188.663</v>
      </c>
      <c r="NB7" s="261">
        <v>575524.97600000002</v>
      </c>
      <c r="NC7" s="262">
        <v>-0.96492130864534398</v>
      </c>
      <c r="ND7" s="261">
        <v>864994.049</v>
      </c>
      <c r="NE7" s="261">
        <v>3062707.142</v>
      </c>
      <c r="NF7" s="262">
        <v>-0.71757206651004102</v>
      </c>
      <c r="NG7" s="261">
        <v>0</v>
      </c>
      <c r="NH7" s="261">
        <v>0</v>
      </c>
      <c r="NI7" s="262">
        <v>0</v>
      </c>
      <c r="NJ7" s="261">
        <v>0</v>
      </c>
      <c r="NK7" s="261">
        <v>0</v>
      </c>
      <c r="NL7" s="262">
        <v>0</v>
      </c>
      <c r="NM7" s="261">
        <v>0</v>
      </c>
      <c r="NN7" s="261">
        <v>0</v>
      </c>
      <c r="NO7" s="262">
        <v>0</v>
      </c>
      <c r="NP7" s="261">
        <v>0</v>
      </c>
      <c r="NQ7" s="261">
        <v>0</v>
      </c>
      <c r="NR7" s="262">
        <v>0</v>
      </c>
      <c r="NS7" s="261">
        <v>0</v>
      </c>
      <c r="NT7" s="261">
        <v>0</v>
      </c>
      <c r="NU7" s="262">
        <v>0</v>
      </c>
      <c r="NV7" s="261">
        <v>0</v>
      </c>
      <c r="NW7" s="261">
        <v>0</v>
      </c>
      <c r="NX7" s="262">
        <v>0</v>
      </c>
      <c r="NY7" s="261">
        <v>0</v>
      </c>
      <c r="NZ7" s="261">
        <v>61004.25</v>
      </c>
      <c r="OA7" s="262">
        <v>-1</v>
      </c>
      <c r="OB7" s="261">
        <v>0</v>
      </c>
      <c r="OC7" s="261">
        <v>65636.217999999993</v>
      </c>
      <c r="OD7" s="262">
        <v>-1</v>
      </c>
      <c r="OE7" s="261">
        <v>29608.97</v>
      </c>
      <c r="OF7" s="261">
        <v>123686.958</v>
      </c>
      <c r="OG7" s="262">
        <v>-0.76061364529637798</v>
      </c>
      <c r="OH7" s="261">
        <v>0</v>
      </c>
      <c r="OI7" s="261">
        <v>0</v>
      </c>
      <c r="OJ7" s="262">
        <v>0</v>
      </c>
      <c r="OK7" s="261">
        <v>0</v>
      </c>
      <c r="OL7" s="261">
        <v>0</v>
      </c>
      <c r="OM7" s="262">
        <v>0</v>
      </c>
      <c r="ON7" s="261">
        <v>0</v>
      </c>
      <c r="OO7" s="261">
        <v>0</v>
      </c>
      <c r="OP7" s="263">
        <v>0</v>
      </c>
      <c r="OQ7" s="261">
        <v>13306.047</v>
      </c>
      <c r="OR7" s="261">
        <v>190539.58</v>
      </c>
      <c r="OS7" s="262">
        <v>-0.93016649349179903</v>
      </c>
      <c r="OT7" s="261">
        <v>33494.71</v>
      </c>
      <c r="OU7" s="261">
        <v>766064.55599999998</v>
      </c>
      <c r="OV7" s="262">
        <v>-0.95627690938359999</v>
      </c>
      <c r="OW7" s="261">
        <v>687760.51599999995</v>
      </c>
      <c r="OX7" s="261">
        <v>3039346.6510000001</v>
      </c>
      <c r="OY7" s="262">
        <v>-0.77371435542776501</v>
      </c>
      <c r="OZ7" s="261">
        <v>0</v>
      </c>
      <c r="PA7" s="261">
        <v>0</v>
      </c>
      <c r="PB7" s="262">
        <v>0</v>
      </c>
      <c r="PC7" s="261">
        <v>0</v>
      </c>
      <c r="PD7" s="261">
        <v>0</v>
      </c>
      <c r="PE7" s="262">
        <v>0</v>
      </c>
      <c r="PF7" s="261">
        <v>0</v>
      </c>
      <c r="PG7" s="261">
        <v>0</v>
      </c>
      <c r="PH7" s="262">
        <v>0</v>
      </c>
      <c r="PI7" s="261">
        <v>0</v>
      </c>
      <c r="PJ7" s="261">
        <v>0</v>
      </c>
      <c r="PK7" s="262">
        <v>0</v>
      </c>
      <c r="PL7" s="261">
        <v>0</v>
      </c>
      <c r="PM7" s="261">
        <v>0</v>
      </c>
      <c r="PN7" s="262">
        <v>0</v>
      </c>
      <c r="PO7" s="261">
        <v>0</v>
      </c>
      <c r="PP7" s="261">
        <v>0</v>
      </c>
      <c r="PQ7" s="262">
        <v>0</v>
      </c>
      <c r="PR7" s="261">
        <v>0</v>
      </c>
      <c r="PS7" s="261">
        <v>29608.97</v>
      </c>
      <c r="PT7" s="262">
        <v>-1</v>
      </c>
      <c r="PU7" s="261">
        <v>0</v>
      </c>
      <c r="PV7" s="261">
        <v>95245.187999999995</v>
      </c>
      <c r="PW7" s="262">
        <v>-1</v>
      </c>
      <c r="PX7" s="261">
        <v>0</v>
      </c>
      <c r="PY7" s="261">
        <v>153295.92800000001</v>
      </c>
      <c r="PZ7" s="262">
        <v>-1</v>
      </c>
      <c r="QA7" s="261">
        <v>0</v>
      </c>
      <c r="QB7" s="261">
        <v>0</v>
      </c>
      <c r="QC7" s="262">
        <v>0</v>
      </c>
      <c r="QD7" s="261">
        <v>0</v>
      </c>
      <c r="QE7" s="261">
        <v>0</v>
      </c>
      <c r="QF7" s="262">
        <v>0</v>
      </c>
      <c r="QG7" s="261">
        <v>0</v>
      </c>
      <c r="QH7" s="261">
        <v>0</v>
      </c>
      <c r="QI7" s="263">
        <v>0</v>
      </c>
      <c r="QJ7" s="261">
        <v>0.106</v>
      </c>
      <c r="QK7" s="261">
        <v>170125.35</v>
      </c>
      <c r="QL7" s="262">
        <v>-0.99999937693001095</v>
      </c>
      <c r="QM7" s="261">
        <v>33494.815999999999</v>
      </c>
      <c r="QN7" s="261">
        <v>936189.90599999996</v>
      </c>
      <c r="QO7" s="262">
        <v>-0.964222199165647</v>
      </c>
      <c r="QP7" s="261">
        <v>517635.272</v>
      </c>
      <c r="QQ7" s="261">
        <v>2989891.4029999999</v>
      </c>
      <c r="QR7" s="262">
        <v>-0.82687154741452695</v>
      </c>
      <c r="QS7" s="261">
        <v>0</v>
      </c>
      <c r="QT7" s="261">
        <v>0</v>
      </c>
      <c r="QU7" s="262">
        <v>0</v>
      </c>
      <c r="QV7" s="261">
        <v>0</v>
      </c>
      <c r="QW7" s="261">
        <v>0</v>
      </c>
      <c r="QX7" s="262">
        <v>0</v>
      </c>
      <c r="QY7" s="261">
        <v>0</v>
      </c>
      <c r="QZ7" s="261">
        <v>0</v>
      </c>
      <c r="RA7" s="262">
        <v>0</v>
      </c>
      <c r="RB7" s="261">
        <v>0</v>
      </c>
      <c r="RC7" s="261">
        <v>0</v>
      </c>
      <c r="RD7" s="262">
        <v>0</v>
      </c>
      <c r="RE7" s="261">
        <v>0</v>
      </c>
      <c r="RF7" s="261">
        <v>0</v>
      </c>
      <c r="RG7" s="262">
        <v>0</v>
      </c>
      <c r="RH7" s="261">
        <v>0</v>
      </c>
      <c r="RI7" s="261">
        <v>0</v>
      </c>
      <c r="RJ7" s="262">
        <v>0</v>
      </c>
      <c r="RK7" s="261">
        <v>0</v>
      </c>
      <c r="RL7" s="261">
        <v>0</v>
      </c>
      <c r="RM7" s="262">
        <v>0</v>
      </c>
      <c r="RN7" s="261">
        <v>0</v>
      </c>
      <c r="RO7" s="261">
        <v>95245.187999999995</v>
      </c>
      <c r="RP7" s="262">
        <v>-1</v>
      </c>
      <c r="RQ7" s="261">
        <v>0</v>
      </c>
      <c r="RR7" s="261">
        <v>153295.92800000001</v>
      </c>
      <c r="RS7" s="262">
        <v>-1</v>
      </c>
      <c r="RT7" s="261">
        <v>0</v>
      </c>
      <c r="RU7" s="261">
        <v>0</v>
      </c>
      <c r="RV7" s="262">
        <v>0</v>
      </c>
      <c r="RW7" s="261">
        <v>0</v>
      </c>
      <c r="RX7" s="261">
        <v>0</v>
      </c>
      <c r="RY7" s="262">
        <v>0</v>
      </c>
      <c r="RZ7" s="261">
        <v>0</v>
      </c>
      <c r="SA7" s="261">
        <v>0</v>
      </c>
      <c r="SB7" s="263">
        <v>0</v>
      </c>
      <c r="SC7" s="261">
        <v>81257.173999999999</v>
      </c>
      <c r="SD7" s="261">
        <v>143702.755</v>
      </c>
      <c r="SE7" s="262">
        <v>-0.43454686028810002</v>
      </c>
      <c r="SF7" s="261">
        <v>114751.99</v>
      </c>
      <c r="SG7" s="261">
        <v>1079892.6610000001</v>
      </c>
      <c r="SH7" s="262">
        <v>-0.89373759620355497</v>
      </c>
      <c r="SI7" s="261">
        <v>455189.69099999999</v>
      </c>
      <c r="SJ7" s="261">
        <v>2919241.8339999998</v>
      </c>
      <c r="SK7" s="262">
        <v>-0.84407263362066498</v>
      </c>
      <c r="SL7" s="261">
        <v>0</v>
      </c>
      <c r="SM7" s="261">
        <v>0</v>
      </c>
      <c r="SN7" s="262">
        <v>0</v>
      </c>
      <c r="SO7" s="261">
        <v>0</v>
      </c>
      <c r="SP7" s="261">
        <v>0</v>
      </c>
      <c r="SQ7" s="262">
        <v>0</v>
      </c>
      <c r="SR7" s="261">
        <v>0</v>
      </c>
      <c r="SS7" s="261">
        <v>0</v>
      </c>
      <c r="ST7" s="262">
        <v>0</v>
      </c>
      <c r="SU7" s="261">
        <v>0</v>
      </c>
      <c r="SV7" s="261">
        <v>0</v>
      </c>
      <c r="SW7" s="262">
        <v>0</v>
      </c>
      <c r="SX7" s="261">
        <v>0</v>
      </c>
      <c r="SY7" s="261">
        <v>0</v>
      </c>
      <c r="SZ7" s="262">
        <v>0</v>
      </c>
      <c r="TA7" s="261">
        <v>0</v>
      </c>
      <c r="TB7" s="261">
        <v>0</v>
      </c>
      <c r="TC7" s="262">
        <v>0</v>
      </c>
      <c r="TD7" s="261">
        <v>0</v>
      </c>
      <c r="TE7" s="261">
        <v>0</v>
      </c>
      <c r="TF7" s="262">
        <v>0</v>
      </c>
      <c r="TG7" s="261">
        <v>0</v>
      </c>
      <c r="TH7" s="261">
        <v>95245.187999999995</v>
      </c>
      <c r="TI7" s="262">
        <v>-1</v>
      </c>
      <c r="TJ7" s="261">
        <v>0</v>
      </c>
      <c r="TK7" s="261">
        <v>128144.224</v>
      </c>
      <c r="TL7" s="262">
        <v>-1</v>
      </c>
      <c r="TM7" s="261">
        <v>0</v>
      </c>
      <c r="TN7" s="261">
        <v>0</v>
      </c>
      <c r="TO7" s="262">
        <v>0</v>
      </c>
      <c r="TP7" s="261">
        <v>0</v>
      </c>
      <c r="TQ7" s="261">
        <v>0</v>
      </c>
      <c r="TR7" s="262">
        <v>0</v>
      </c>
      <c r="TS7" s="261">
        <v>0</v>
      </c>
      <c r="TT7" s="261">
        <v>0</v>
      </c>
      <c r="TU7" s="263">
        <v>0</v>
      </c>
      <c r="TV7" s="261">
        <v>13074.674000000001</v>
      </c>
      <c r="TW7" s="261">
        <v>154141.783</v>
      </c>
      <c r="TX7" s="262">
        <v>-0.915177612808592</v>
      </c>
      <c r="TY7" s="261">
        <v>127826.664</v>
      </c>
      <c r="TZ7" s="261">
        <v>1234034.4439999999</v>
      </c>
      <c r="UA7" s="262">
        <v>-0.89641564332218904</v>
      </c>
      <c r="UB7" s="261">
        <v>314122.58199999999</v>
      </c>
      <c r="UC7" s="261">
        <v>2882515.29</v>
      </c>
      <c r="UD7" s="262">
        <v>-0.89102483407815702</v>
      </c>
      <c r="UE7" s="261">
        <v>0</v>
      </c>
      <c r="UF7" s="261">
        <v>0</v>
      </c>
      <c r="UG7" s="262">
        <v>0</v>
      </c>
      <c r="UH7" s="261">
        <v>0</v>
      </c>
      <c r="UI7" s="261">
        <v>0</v>
      </c>
      <c r="UJ7" s="262">
        <v>0</v>
      </c>
      <c r="UK7" s="261">
        <v>0</v>
      </c>
      <c r="UL7" s="261">
        <v>0</v>
      </c>
      <c r="UM7" s="262">
        <v>0</v>
      </c>
      <c r="UN7" s="261">
        <v>0</v>
      </c>
      <c r="UO7" s="261">
        <v>0</v>
      </c>
      <c r="UP7" s="262">
        <v>0</v>
      </c>
      <c r="UQ7" s="261">
        <v>0</v>
      </c>
      <c r="UR7" s="261">
        <v>0</v>
      </c>
      <c r="US7" s="262">
        <v>0</v>
      </c>
      <c r="UT7" s="261">
        <v>0</v>
      </c>
      <c r="UU7" s="261">
        <v>0</v>
      </c>
      <c r="UV7" s="262">
        <v>0</v>
      </c>
      <c r="UW7" s="261">
        <v>0</v>
      </c>
      <c r="UX7" s="261">
        <v>0</v>
      </c>
      <c r="UY7" s="262">
        <v>0</v>
      </c>
      <c r="UZ7" s="261">
        <v>0</v>
      </c>
      <c r="VA7" s="261">
        <v>95245.187999999995</v>
      </c>
      <c r="VB7" s="262">
        <v>-1</v>
      </c>
      <c r="VC7" s="261">
        <v>0</v>
      </c>
      <c r="VD7" s="261">
        <v>98307.392000000007</v>
      </c>
      <c r="VE7" s="262">
        <v>-1</v>
      </c>
      <c r="VF7" s="261">
        <v>0</v>
      </c>
      <c r="VG7" s="261">
        <v>0</v>
      </c>
      <c r="VH7" s="262">
        <v>0</v>
      </c>
      <c r="VI7" s="261">
        <v>0</v>
      </c>
      <c r="VJ7" s="261">
        <v>0</v>
      </c>
      <c r="VK7" s="262">
        <v>0</v>
      </c>
      <c r="VL7" s="261">
        <v>0</v>
      </c>
      <c r="VM7" s="261">
        <v>0</v>
      </c>
      <c r="VN7" s="263">
        <v>0</v>
      </c>
    </row>
    <row r="8" spans="1:586">
      <c r="A8" s="267" t="s">
        <v>133</v>
      </c>
      <c r="B8" s="261">
        <v>0</v>
      </c>
      <c r="C8" s="261">
        <v>0</v>
      </c>
      <c r="D8" s="262">
        <v>0</v>
      </c>
      <c r="E8" s="261">
        <v>0</v>
      </c>
      <c r="F8" s="261">
        <v>0</v>
      </c>
      <c r="G8" s="262">
        <v>0</v>
      </c>
      <c r="H8" s="261">
        <v>0</v>
      </c>
      <c r="I8" s="261">
        <v>0</v>
      </c>
      <c r="J8" s="262">
        <v>0</v>
      </c>
      <c r="K8" s="261">
        <v>16852.822</v>
      </c>
      <c r="L8" s="261">
        <v>15739.415000000001</v>
      </c>
      <c r="M8" s="262">
        <v>7.0740049741365801E-2</v>
      </c>
      <c r="N8" s="261">
        <v>97147.781000000003</v>
      </c>
      <c r="O8" s="261">
        <v>92960.845000000001</v>
      </c>
      <c r="P8" s="262">
        <v>4.5039779920244903E-2</v>
      </c>
      <c r="Q8" s="261">
        <v>200231.68900000001</v>
      </c>
      <c r="R8" s="261">
        <v>188292.59299999999</v>
      </c>
      <c r="S8" s="262">
        <v>6.3407146344838003E-2</v>
      </c>
      <c r="T8" s="261">
        <v>19073.338</v>
      </c>
      <c r="U8" s="261">
        <v>15951.165000000001</v>
      </c>
      <c r="V8" s="262">
        <v>0.19573322700881099</v>
      </c>
      <c r="W8" s="261">
        <v>98519.854000000007</v>
      </c>
      <c r="X8" s="261">
        <v>90545.831999999995</v>
      </c>
      <c r="Y8" s="262">
        <v>8.8066140913034996E-2</v>
      </c>
      <c r="Z8" s="261">
        <v>210559.193</v>
      </c>
      <c r="AA8" s="261">
        <v>194334.204</v>
      </c>
      <c r="AB8" s="262">
        <v>8.34901353752424E-2</v>
      </c>
      <c r="AC8" s="261">
        <v>36758.597999999998</v>
      </c>
      <c r="AD8" s="261">
        <v>18518.857</v>
      </c>
      <c r="AE8" s="262">
        <v>0.984928011485806</v>
      </c>
      <c r="AF8" s="261">
        <v>90696.29</v>
      </c>
      <c r="AG8" s="261">
        <v>68276.47</v>
      </c>
      <c r="AH8" s="262">
        <v>0.32836817720658401</v>
      </c>
      <c r="AI8" s="261">
        <v>284243.73599999998</v>
      </c>
      <c r="AJ8" s="261">
        <v>256743.60399999999</v>
      </c>
      <c r="AK8" s="262">
        <v>0.107111264201152</v>
      </c>
      <c r="AL8" s="261">
        <v>133454.46299999999</v>
      </c>
      <c r="AM8" s="261">
        <v>150704.353</v>
      </c>
      <c r="AN8" s="262">
        <v>-0.114461789965682</v>
      </c>
      <c r="AO8" s="261">
        <v>905308.85699999996</v>
      </c>
      <c r="AP8" s="261">
        <v>923782.75699999998</v>
      </c>
      <c r="AQ8" s="262">
        <v>-1.9998100051135798E-2</v>
      </c>
      <c r="AR8" s="261">
        <v>1859474.5490000001</v>
      </c>
      <c r="AS8" s="261">
        <v>1923255.0249999999</v>
      </c>
      <c r="AT8" s="263">
        <v>-3.3162776215806197E-2</v>
      </c>
      <c r="AU8" s="261">
        <v>0</v>
      </c>
      <c r="AV8" s="261">
        <v>0</v>
      </c>
      <c r="AW8" s="262">
        <v>0</v>
      </c>
      <c r="AX8" s="261">
        <v>0</v>
      </c>
      <c r="AY8" s="261">
        <v>0</v>
      </c>
      <c r="AZ8" s="262">
        <v>0</v>
      </c>
      <c r="BA8" s="261">
        <v>0</v>
      </c>
      <c r="BB8" s="261">
        <v>0</v>
      </c>
      <c r="BC8" s="262">
        <v>0</v>
      </c>
      <c r="BD8" s="261">
        <v>19199.385999999999</v>
      </c>
      <c r="BE8" s="261">
        <v>18047.827000000001</v>
      </c>
      <c r="BF8" s="262">
        <v>6.3805964008852495E-2</v>
      </c>
      <c r="BG8" s="261">
        <v>116347.167</v>
      </c>
      <c r="BH8" s="261">
        <v>111008.67200000001</v>
      </c>
      <c r="BI8" s="262">
        <v>4.80907924022368E-2</v>
      </c>
      <c r="BJ8" s="261">
        <v>201383.24799999999</v>
      </c>
      <c r="BK8" s="261">
        <v>189320.74600000001</v>
      </c>
      <c r="BL8" s="262">
        <v>6.3714633788734307E-2</v>
      </c>
      <c r="BM8" s="261">
        <v>22718.888999999999</v>
      </c>
      <c r="BN8" s="261">
        <v>20595.238000000001</v>
      </c>
      <c r="BO8" s="262">
        <v>0.103113690650237</v>
      </c>
      <c r="BP8" s="261">
        <v>121238.743</v>
      </c>
      <c r="BQ8" s="261">
        <v>111141.07</v>
      </c>
      <c r="BR8" s="262">
        <v>9.0854559885018199E-2</v>
      </c>
      <c r="BS8" s="261">
        <v>212682.84400000001</v>
      </c>
      <c r="BT8" s="261">
        <v>193846.174</v>
      </c>
      <c r="BU8" s="262">
        <v>9.7173287516110499E-2</v>
      </c>
      <c r="BV8" s="261">
        <v>62363.781999999999</v>
      </c>
      <c r="BW8" s="261">
        <v>51657.288</v>
      </c>
      <c r="BX8" s="262">
        <v>0.20726008690196801</v>
      </c>
      <c r="BY8" s="261">
        <v>153060.07199999999</v>
      </c>
      <c r="BZ8" s="261">
        <v>119933.758</v>
      </c>
      <c r="CA8" s="262">
        <v>0.27620508647782099</v>
      </c>
      <c r="CB8" s="261">
        <v>294950.23</v>
      </c>
      <c r="CC8" s="261">
        <v>250447.18599999999</v>
      </c>
      <c r="CD8" s="262">
        <v>0.17769432633992499</v>
      </c>
      <c r="CE8" s="261">
        <v>138953.66800000001</v>
      </c>
      <c r="CF8" s="261">
        <v>160623.88500000001</v>
      </c>
      <c r="CG8" s="262">
        <v>-0.13491279332460401</v>
      </c>
      <c r="CH8" s="261">
        <v>1044262.525</v>
      </c>
      <c r="CI8" s="261">
        <v>1084406.642</v>
      </c>
      <c r="CJ8" s="262">
        <v>-3.7019431129600301E-2</v>
      </c>
      <c r="CK8" s="261">
        <v>1837804.3319999999</v>
      </c>
      <c r="CL8" s="261">
        <v>1933043.92</v>
      </c>
      <c r="CM8" s="263">
        <v>-4.9269231296100099E-2</v>
      </c>
      <c r="CN8" s="261">
        <v>0</v>
      </c>
      <c r="CO8" s="261">
        <v>0</v>
      </c>
      <c r="CP8" s="262">
        <v>0</v>
      </c>
      <c r="CQ8" s="261">
        <v>0</v>
      </c>
      <c r="CR8" s="261">
        <v>0</v>
      </c>
      <c r="CS8" s="262">
        <v>0</v>
      </c>
      <c r="CT8" s="261">
        <v>0</v>
      </c>
      <c r="CU8" s="261">
        <v>0</v>
      </c>
      <c r="CV8" s="262">
        <v>0</v>
      </c>
      <c r="CW8" s="261">
        <v>19175.791000000001</v>
      </c>
      <c r="CX8" s="261">
        <v>19270.391</v>
      </c>
      <c r="CY8" s="262">
        <v>-4.9090856537367901E-3</v>
      </c>
      <c r="CZ8" s="261">
        <v>135522.95800000001</v>
      </c>
      <c r="DA8" s="261">
        <v>130279.06299999999</v>
      </c>
      <c r="DB8" s="262">
        <v>4.02512489669965E-2</v>
      </c>
      <c r="DC8" s="261">
        <v>201288.64799999999</v>
      </c>
      <c r="DD8" s="261">
        <v>191533.65100000001</v>
      </c>
      <c r="DE8" s="262">
        <v>5.0930982357768398E-2</v>
      </c>
      <c r="DF8" s="261">
        <v>21785.053</v>
      </c>
      <c r="DG8" s="261">
        <v>22965.973000000002</v>
      </c>
      <c r="DH8" s="262">
        <v>-5.1420420985429302E-2</v>
      </c>
      <c r="DI8" s="261">
        <v>143023.796</v>
      </c>
      <c r="DJ8" s="261">
        <v>134107.04300000001</v>
      </c>
      <c r="DK8" s="262">
        <v>6.6489818882964999E-2</v>
      </c>
      <c r="DL8" s="261">
        <v>211501.924</v>
      </c>
      <c r="DM8" s="261">
        <v>196081.72099999999</v>
      </c>
      <c r="DN8" s="262">
        <v>7.8641715920067898E-2</v>
      </c>
      <c r="DO8" s="261">
        <v>66467.854999999996</v>
      </c>
      <c r="DP8" s="261">
        <v>63154.792000000001</v>
      </c>
      <c r="DQ8" s="262">
        <v>5.2459407989183103E-2</v>
      </c>
      <c r="DR8" s="261">
        <v>219527.927</v>
      </c>
      <c r="DS8" s="261">
        <v>183088.55</v>
      </c>
      <c r="DT8" s="262">
        <v>0.199025974043707</v>
      </c>
      <c r="DU8" s="261">
        <v>298263.29300000001</v>
      </c>
      <c r="DV8" s="261">
        <v>248239.69</v>
      </c>
      <c r="DW8" s="262">
        <v>0.201513315618465</v>
      </c>
      <c r="DX8" s="261">
        <v>156429.90100000001</v>
      </c>
      <c r="DY8" s="261">
        <v>152787.51800000001</v>
      </c>
      <c r="DZ8" s="262">
        <v>2.38395324937473E-2</v>
      </c>
      <c r="EA8" s="261">
        <v>1200692.426</v>
      </c>
      <c r="EB8" s="261">
        <v>1237194.1599999999</v>
      </c>
      <c r="EC8" s="262">
        <v>-2.9503642338563701E-2</v>
      </c>
      <c r="ED8" s="261">
        <v>1841446.7150000001</v>
      </c>
      <c r="EE8" s="261">
        <v>1924331.1939999999</v>
      </c>
      <c r="EF8" s="263">
        <v>-4.3071836728745497E-2</v>
      </c>
      <c r="EG8" s="261">
        <v>0</v>
      </c>
      <c r="EH8" s="261">
        <v>0</v>
      </c>
      <c r="EI8" s="262">
        <v>0</v>
      </c>
      <c r="EJ8" s="261">
        <v>0</v>
      </c>
      <c r="EK8" s="261">
        <v>0</v>
      </c>
      <c r="EL8" s="262">
        <v>0</v>
      </c>
      <c r="EM8" s="261">
        <v>0</v>
      </c>
      <c r="EN8" s="261">
        <v>0</v>
      </c>
      <c r="EO8" s="262">
        <v>0</v>
      </c>
      <c r="EP8" s="261">
        <v>17843.856</v>
      </c>
      <c r="EQ8" s="261">
        <v>17241.707999999999</v>
      </c>
      <c r="ER8" s="262">
        <v>3.4923918210423302E-2</v>
      </c>
      <c r="ES8" s="261">
        <v>153366.81400000001</v>
      </c>
      <c r="ET8" s="261">
        <v>147520.77100000001</v>
      </c>
      <c r="EU8" s="262">
        <v>3.9628609316311202E-2</v>
      </c>
      <c r="EV8" s="261">
        <v>201890.796</v>
      </c>
      <c r="EW8" s="261">
        <v>193252.041</v>
      </c>
      <c r="EX8" s="262">
        <v>4.4702011711224302E-2</v>
      </c>
      <c r="EY8" s="261">
        <v>19388.259999999998</v>
      </c>
      <c r="EZ8" s="261">
        <v>18671.080000000002</v>
      </c>
      <c r="FA8" s="262">
        <v>3.8411275619835601E-2</v>
      </c>
      <c r="FB8" s="261">
        <v>162412.05600000001</v>
      </c>
      <c r="FC8" s="261">
        <v>152778.12299999999</v>
      </c>
      <c r="FD8" s="262">
        <v>6.3058328056563195E-2</v>
      </c>
      <c r="FE8" s="261">
        <v>212219.10399999999</v>
      </c>
      <c r="FF8" s="261">
        <v>198414.26800000001</v>
      </c>
      <c r="FG8" s="262">
        <v>6.9575823045145202E-2</v>
      </c>
      <c r="FH8" s="261">
        <v>45454.34</v>
      </c>
      <c r="FI8" s="261">
        <v>37101.396999999997</v>
      </c>
      <c r="FJ8" s="262">
        <v>0.22513823401312899</v>
      </c>
      <c r="FK8" s="261">
        <v>264982.26699999999</v>
      </c>
      <c r="FL8" s="261">
        <v>220189.94699999999</v>
      </c>
      <c r="FM8" s="262">
        <v>0.20342581761918499</v>
      </c>
      <c r="FN8" s="261">
        <v>306616.23599999998</v>
      </c>
      <c r="FO8" s="261">
        <v>251887.12299999999</v>
      </c>
      <c r="FP8" s="262">
        <v>0.21727634326110401</v>
      </c>
      <c r="FQ8" s="261">
        <v>146533.94200000001</v>
      </c>
      <c r="FR8" s="261">
        <v>158023.614</v>
      </c>
      <c r="FS8" s="262">
        <v>-7.2708576327079805E-2</v>
      </c>
      <c r="FT8" s="261">
        <v>1347226.368</v>
      </c>
      <c r="FU8" s="261">
        <v>1395217.774</v>
      </c>
      <c r="FV8" s="262">
        <v>-3.4397071836614897E-2</v>
      </c>
      <c r="FW8" s="261">
        <v>1829957.0430000001</v>
      </c>
      <c r="FX8" s="261">
        <v>1924429.1510000001</v>
      </c>
      <c r="FY8" s="263">
        <v>-4.9090977420971203E-2</v>
      </c>
      <c r="FZ8" s="261">
        <v>0</v>
      </c>
      <c r="GA8" s="261">
        <v>0</v>
      </c>
      <c r="GB8" s="262">
        <v>0</v>
      </c>
      <c r="GC8" s="261">
        <v>0</v>
      </c>
      <c r="GD8" s="261">
        <v>0</v>
      </c>
      <c r="GE8" s="262">
        <v>0</v>
      </c>
      <c r="GF8" s="261">
        <v>0</v>
      </c>
      <c r="GG8" s="261">
        <v>0</v>
      </c>
      <c r="GH8" s="262">
        <v>0</v>
      </c>
      <c r="GI8" s="261">
        <v>17789.682000000001</v>
      </c>
      <c r="GJ8" s="261">
        <v>17107.995999999999</v>
      </c>
      <c r="GK8" s="262">
        <v>3.98460462581358E-2</v>
      </c>
      <c r="GL8" s="261">
        <v>171156.49600000001</v>
      </c>
      <c r="GM8" s="261">
        <v>164628.76699999999</v>
      </c>
      <c r="GN8" s="262">
        <v>3.9651205065515803E-2</v>
      </c>
      <c r="GO8" s="261">
        <v>202572.48199999999</v>
      </c>
      <c r="GP8" s="261">
        <v>194689.34299999999</v>
      </c>
      <c r="GQ8" s="262">
        <v>4.0490860354898801E-2</v>
      </c>
      <c r="GR8" s="261">
        <v>17869.631000000001</v>
      </c>
      <c r="GS8" s="261">
        <v>16871.687000000002</v>
      </c>
      <c r="GT8" s="262">
        <v>5.9149034711229301E-2</v>
      </c>
      <c r="GU8" s="261">
        <v>180281.68700000001</v>
      </c>
      <c r="GV8" s="261">
        <v>169649.81</v>
      </c>
      <c r="GW8" s="262">
        <v>6.2669548524693405E-2</v>
      </c>
      <c r="GX8" s="261">
        <v>213217.04800000001</v>
      </c>
      <c r="GY8" s="261">
        <v>199028.62</v>
      </c>
      <c r="GZ8" s="262">
        <v>7.1288380535422594E-2</v>
      </c>
      <c r="HA8" s="261">
        <v>22456.917000000001</v>
      </c>
      <c r="HB8" s="261">
        <v>25321.735000000001</v>
      </c>
      <c r="HC8" s="262">
        <v>-0.113136718317287</v>
      </c>
      <c r="HD8" s="261">
        <v>287439.18400000001</v>
      </c>
      <c r="HE8" s="261">
        <v>245511.682</v>
      </c>
      <c r="HF8" s="262">
        <v>0.170775995905564</v>
      </c>
      <c r="HG8" s="261">
        <v>303751.41800000001</v>
      </c>
      <c r="HH8" s="261">
        <v>259532.34</v>
      </c>
      <c r="HI8" s="262">
        <v>0.170379837826762</v>
      </c>
      <c r="HJ8" s="261">
        <v>159054.62599999999</v>
      </c>
      <c r="HK8" s="261">
        <v>161225.87400000001</v>
      </c>
      <c r="HL8" s="262">
        <v>-1.34671188074936E-2</v>
      </c>
      <c r="HM8" s="261">
        <v>1506280.9939999999</v>
      </c>
      <c r="HN8" s="261">
        <v>1556443.648</v>
      </c>
      <c r="HO8" s="262">
        <v>-3.2229020346774502E-2</v>
      </c>
      <c r="HP8" s="261">
        <v>1827785.7949999999</v>
      </c>
      <c r="HQ8" s="261">
        <v>1902714.93</v>
      </c>
      <c r="HR8" s="263">
        <v>-3.9380116179568901E-2</v>
      </c>
      <c r="HS8" s="261">
        <v>0</v>
      </c>
      <c r="HT8" s="261">
        <v>0</v>
      </c>
      <c r="HU8" s="262">
        <v>0</v>
      </c>
      <c r="HV8" s="261">
        <v>0</v>
      </c>
      <c r="HW8" s="261">
        <v>0</v>
      </c>
      <c r="HX8" s="262">
        <v>0</v>
      </c>
      <c r="HY8" s="261">
        <v>0</v>
      </c>
      <c r="HZ8" s="261">
        <v>0</v>
      </c>
      <c r="IA8" s="262">
        <v>0</v>
      </c>
      <c r="IB8" s="261">
        <v>16652.837</v>
      </c>
      <c r="IC8" s="261">
        <v>15819.960999999999</v>
      </c>
      <c r="ID8" s="262">
        <v>5.2647158864677399E-2</v>
      </c>
      <c r="IE8" s="261">
        <v>187809.33300000001</v>
      </c>
      <c r="IF8" s="261">
        <v>180448.728</v>
      </c>
      <c r="IG8" s="262">
        <v>4.07905618486821E-2</v>
      </c>
      <c r="IH8" s="261">
        <v>203405.35800000001</v>
      </c>
      <c r="II8" s="261">
        <v>195862.38099999999</v>
      </c>
      <c r="IJ8" s="262">
        <v>3.8511616990911698E-2</v>
      </c>
      <c r="IK8" s="261">
        <v>16330.550999999999</v>
      </c>
      <c r="IL8" s="261">
        <v>16091.463</v>
      </c>
      <c r="IM8" s="262">
        <v>1.4858064801193E-2</v>
      </c>
      <c r="IN8" s="261">
        <v>196612.23800000001</v>
      </c>
      <c r="IO8" s="261">
        <v>185741.27299999999</v>
      </c>
      <c r="IP8" s="262">
        <v>5.85274603991758E-2</v>
      </c>
      <c r="IQ8" s="261">
        <v>213456.136</v>
      </c>
      <c r="IR8" s="261">
        <v>200520.503</v>
      </c>
      <c r="IS8" s="262">
        <v>6.4510276038954498E-2</v>
      </c>
      <c r="IT8" s="261">
        <v>17069.234</v>
      </c>
      <c r="IU8" s="261">
        <v>8042.0429999999997</v>
      </c>
      <c r="IV8" s="262">
        <v>1.1224997180442799</v>
      </c>
      <c r="IW8" s="261">
        <v>304508.41800000001</v>
      </c>
      <c r="IX8" s="261">
        <v>253553.72500000001</v>
      </c>
      <c r="IY8" s="262">
        <v>0.200962115622636</v>
      </c>
      <c r="IZ8" s="261">
        <v>312778.609</v>
      </c>
      <c r="JA8" s="261">
        <v>260736.91200000001</v>
      </c>
      <c r="JB8" s="262">
        <v>0.199594666519637</v>
      </c>
      <c r="JC8" s="261">
        <v>144589.59</v>
      </c>
      <c r="JD8" s="261">
        <v>162625.35500000001</v>
      </c>
      <c r="JE8" s="262">
        <v>-0.110903770202377</v>
      </c>
      <c r="JF8" s="261">
        <v>1650870.584</v>
      </c>
      <c r="JG8" s="261">
        <v>1719069.003</v>
      </c>
      <c r="JH8" s="262">
        <v>-3.9671717005533097E-2</v>
      </c>
      <c r="JI8" s="261">
        <v>1809750.03</v>
      </c>
      <c r="JJ8" s="261">
        <v>1893495.1089999999</v>
      </c>
      <c r="JK8" s="263">
        <v>-4.42277767721449E-2</v>
      </c>
      <c r="JL8" s="261">
        <v>0</v>
      </c>
      <c r="JM8" s="261">
        <v>0</v>
      </c>
      <c r="JN8" s="262">
        <v>0</v>
      </c>
      <c r="JO8" s="261">
        <v>0</v>
      </c>
      <c r="JP8" s="261">
        <v>0</v>
      </c>
      <c r="JQ8" s="262">
        <v>0</v>
      </c>
      <c r="JR8" s="261">
        <v>0</v>
      </c>
      <c r="JS8" s="261">
        <v>0</v>
      </c>
      <c r="JT8" s="262">
        <v>0</v>
      </c>
      <c r="JU8" s="261">
        <v>18167.132000000001</v>
      </c>
      <c r="JV8" s="261">
        <v>15596.025</v>
      </c>
      <c r="JW8" s="262">
        <v>0.16485655800115701</v>
      </c>
      <c r="JX8" s="261">
        <v>205976.465</v>
      </c>
      <c r="JY8" s="261">
        <v>196044.753</v>
      </c>
      <c r="JZ8" s="262">
        <v>5.0660432620708802E-2</v>
      </c>
      <c r="KA8" s="261">
        <v>205976.465</v>
      </c>
      <c r="KB8" s="261">
        <v>196044.753</v>
      </c>
      <c r="KC8" s="262">
        <v>5.0660432620708802E-2</v>
      </c>
      <c r="KD8" s="261">
        <v>18224.268</v>
      </c>
      <c r="KE8" s="261">
        <v>16843.898000000001</v>
      </c>
      <c r="KF8" s="262">
        <v>8.1950745605322395E-2</v>
      </c>
      <c r="KG8" s="261">
        <v>214836.50599999999</v>
      </c>
      <c r="KH8" s="261">
        <v>202585.171</v>
      </c>
      <c r="KI8" s="262">
        <v>6.0474984124084703E-2</v>
      </c>
      <c r="KJ8" s="261">
        <v>214836.50599999999</v>
      </c>
      <c r="KK8" s="261">
        <v>202585.171</v>
      </c>
      <c r="KL8" s="262">
        <v>6.0474984124084703E-2</v>
      </c>
      <c r="KM8" s="261">
        <v>11652.041999999999</v>
      </c>
      <c r="KN8" s="261">
        <v>8270.1910000000007</v>
      </c>
      <c r="KO8" s="262">
        <v>0.40892054367305403</v>
      </c>
      <c r="KP8" s="261">
        <v>316160.46000000002</v>
      </c>
      <c r="KQ8" s="261">
        <v>261823.916</v>
      </c>
      <c r="KR8" s="262">
        <v>0.207530865896911</v>
      </c>
      <c r="KS8" s="261">
        <v>316160.46000000002</v>
      </c>
      <c r="KT8" s="261">
        <v>261823.916</v>
      </c>
      <c r="KU8" s="262">
        <v>0.207530865896911</v>
      </c>
      <c r="KV8" s="261">
        <v>158026.85200000001</v>
      </c>
      <c r="KW8" s="261">
        <v>158879.446</v>
      </c>
      <c r="KX8" s="262">
        <v>-5.3662951468247903E-3</v>
      </c>
      <c r="KY8" s="261">
        <v>1808897.436</v>
      </c>
      <c r="KZ8" s="261">
        <v>1877948.449</v>
      </c>
      <c r="LA8" s="262">
        <v>-3.67693868469973E-2</v>
      </c>
      <c r="LB8" s="261">
        <v>1808897.436</v>
      </c>
      <c r="LC8" s="261">
        <v>1877948.449</v>
      </c>
      <c r="LD8" s="263">
        <v>-3.67693868469973E-2</v>
      </c>
      <c r="LE8" s="261">
        <v>0</v>
      </c>
      <c r="LF8" s="261">
        <v>0</v>
      </c>
      <c r="LG8" s="262">
        <v>0</v>
      </c>
      <c r="LH8" s="261">
        <v>0</v>
      </c>
      <c r="LI8" s="261">
        <v>0</v>
      </c>
      <c r="LJ8" s="262">
        <v>0</v>
      </c>
      <c r="LK8" s="261">
        <v>0</v>
      </c>
      <c r="LL8" s="261">
        <v>0</v>
      </c>
      <c r="LM8" s="262">
        <v>0</v>
      </c>
      <c r="LN8" s="261">
        <v>19168.665000000001</v>
      </c>
      <c r="LO8" s="261">
        <v>17089.555</v>
      </c>
      <c r="LP8" s="262">
        <v>0.121659692133587</v>
      </c>
      <c r="LQ8" s="261">
        <v>19168.665000000001</v>
      </c>
      <c r="LR8" s="261">
        <v>17089.555</v>
      </c>
      <c r="LS8" s="262">
        <v>0.121659692133587</v>
      </c>
      <c r="LT8" s="261">
        <v>208055.57500000001</v>
      </c>
      <c r="LU8" s="261">
        <v>197189.215</v>
      </c>
      <c r="LV8" s="262">
        <v>5.5106259234309597E-2</v>
      </c>
      <c r="LW8" s="261">
        <v>18544.635999999999</v>
      </c>
      <c r="LX8" s="261">
        <v>17414.43</v>
      </c>
      <c r="LY8" s="262">
        <v>6.4900545122636696E-2</v>
      </c>
      <c r="LZ8" s="261">
        <v>18544.635999999999</v>
      </c>
      <c r="MA8" s="261">
        <v>17414.43</v>
      </c>
      <c r="MB8" s="262">
        <v>6.4900545122636696E-2</v>
      </c>
      <c r="MC8" s="261">
        <v>215966.712</v>
      </c>
      <c r="MD8" s="261">
        <v>204706.24400000001</v>
      </c>
      <c r="ME8" s="262">
        <v>5.5007936152646202E-2</v>
      </c>
      <c r="MF8" s="261">
        <v>14892.019</v>
      </c>
      <c r="MG8" s="261">
        <v>8585.4889999999996</v>
      </c>
      <c r="MH8" s="262">
        <v>0.73455687847250195</v>
      </c>
      <c r="MI8" s="261">
        <v>14892.019</v>
      </c>
      <c r="MJ8" s="261">
        <v>8585.4889999999996</v>
      </c>
      <c r="MK8" s="262">
        <v>0.73455687847250195</v>
      </c>
      <c r="ML8" s="261">
        <v>322466.99</v>
      </c>
      <c r="MM8" s="261">
        <v>264211.46399999998</v>
      </c>
      <c r="MN8" s="262">
        <v>0.220488260115769</v>
      </c>
      <c r="MO8" s="261">
        <v>158381.06899999999</v>
      </c>
      <c r="MP8" s="261">
        <v>164446.28099999999</v>
      </c>
      <c r="MQ8" s="262">
        <v>-3.6882634031717598E-2</v>
      </c>
      <c r="MR8" s="261">
        <v>158381.06899999999</v>
      </c>
      <c r="MS8" s="261">
        <v>164446.28099999999</v>
      </c>
      <c r="MT8" s="262">
        <v>-3.6882634031717598E-2</v>
      </c>
      <c r="MU8" s="261">
        <v>1802832.2239999999</v>
      </c>
      <c r="MV8" s="261">
        <v>1872512.8559999999</v>
      </c>
      <c r="MW8" s="263">
        <v>-3.7212365072274801E-2</v>
      </c>
      <c r="MX8" s="261">
        <v>0</v>
      </c>
      <c r="MY8" s="261">
        <v>0</v>
      </c>
      <c r="MZ8" s="262">
        <v>0</v>
      </c>
      <c r="NA8" s="261">
        <v>0</v>
      </c>
      <c r="NB8" s="261">
        <v>0</v>
      </c>
      <c r="NC8" s="262">
        <v>0</v>
      </c>
      <c r="ND8" s="261">
        <v>0</v>
      </c>
      <c r="NE8" s="261">
        <v>0</v>
      </c>
      <c r="NF8" s="262">
        <v>0</v>
      </c>
      <c r="NG8" s="261">
        <v>15334.587</v>
      </c>
      <c r="NH8" s="261">
        <v>15499.653</v>
      </c>
      <c r="NI8" s="262">
        <v>-1.06496577697579E-2</v>
      </c>
      <c r="NJ8" s="261">
        <v>34503.252</v>
      </c>
      <c r="NK8" s="261">
        <v>32589.207999999999</v>
      </c>
      <c r="NL8" s="262">
        <v>5.8732449097873202E-2</v>
      </c>
      <c r="NM8" s="261">
        <v>207890.50899999999</v>
      </c>
      <c r="NN8" s="261">
        <v>198030.386</v>
      </c>
      <c r="NO8" s="262">
        <v>4.9790959858049197E-2</v>
      </c>
      <c r="NP8" s="261">
        <v>16005.218999999999</v>
      </c>
      <c r="NQ8" s="261">
        <v>15277.513000000001</v>
      </c>
      <c r="NR8" s="262">
        <v>4.76324909689161E-2</v>
      </c>
      <c r="NS8" s="261">
        <v>34549.855000000003</v>
      </c>
      <c r="NT8" s="261">
        <v>32691.942999999999</v>
      </c>
      <c r="NU8" s="262">
        <v>5.6830883376983901E-2</v>
      </c>
      <c r="NV8" s="261">
        <v>216694.41800000001</v>
      </c>
      <c r="NW8" s="261">
        <v>205611.614</v>
      </c>
      <c r="NX8" s="262">
        <v>5.39016439022749E-2</v>
      </c>
      <c r="NY8" s="261">
        <v>6035.9920000000002</v>
      </c>
      <c r="NZ8" s="261">
        <v>6475.8909999999996</v>
      </c>
      <c r="OA8" s="262">
        <v>-6.7928722086273596E-2</v>
      </c>
      <c r="OB8" s="261">
        <v>20928.010999999999</v>
      </c>
      <c r="OC8" s="261">
        <v>15061.38</v>
      </c>
      <c r="OD8" s="262">
        <v>0.38951483861372599</v>
      </c>
      <c r="OE8" s="261">
        <v>322027.09100000001</v>
      </c>
      <c r="OF8" s="261">
        <v>264986.95400000003</v>
      </c>
      <c r="OG8" s="262">
        <v>0.21525639711304401</v>
      </c>
      <c r="OH8" s="261">
        <v>143065.14300000001</v>
      </c>
      <c r="OI8" s="261">
        <v>147685.913</v>
      </c>
      <c r="OJ8" s="262">
        <v>-3.1287818222716902E-2</v>
      </c>
      <c r="OK8" s="261">
        <v>301446.212</v>
      </c>
      <c r="OL8" s="261">
        <v>312132.19400000002</v>
      </c>
      <c r="OM8" s="262">
        <v>-3.4235436797012901E-2</v>
      </c>
      <c r="ON8" s="261">
        <v>1798211.4539999999</v>
      </c>
      <c r="OO8" s="261">
        <v>1869695.0819999999</v>
      </c>
      <c r="OP8" s="263">
        <v>-3.8232773187558702E-2</v>
      </c>
      <c r="OQ8" s="261">
        <v>0</v>
      </c>
      <c r="OR8" s="261">
        <v>0</v>
      </c>
      <c r="OS8" s="262">
        <v>0</v>
      </c>
      <c r="OT8" s="261">
        <v>0</v>
      </c>
      <c r="OU8" s="261">
        <v>0</v>
      </c>
      <c r="OV8" s="262">
        <v>0</v>
      </c>
      <c r="OW8" s="261">
        <v>0</v>
      </c>
      <c r="OX8" s="261">
        <v>0</v>
      </c>
      <c r="OY8" s="262">
        <v>0</v>
      </c>
      <c r="OZ8" s="261">
        <v>15692.968999999999</v>
      </c>
      <c r="PA8" s="261">
        <v>16981.288</v>
      </c>
      <c r="PB8" s="262">
        <v>-7.5866977816994904E-2</v>
      </c>
      <c r="PC8" s="261">
        <v>50196.220999999998</v>
      </c>
      <c r="PD8" s="261">
        <v>49570.495999999999</v>
      </c>
      <c r="PE8" s="262">
        <v>1.26229319956774E-2</v>
      </c>
      <c r="PF8" s="261">
        <v>206602.19</v>
      </c>
      <c r="PG8" s="261">
        <v>199749.791</v>
      </c>
      <c r="PH8" s="262">
        <v>3.4304911988618798E-2</v>
      </c>
      <c r="PI8" s="261">
        <v>16923.91</v>
      </c>
      <c r="PJ8" s="261">
        <v>16101.53</v>
      </c>
      <c r="PK8" s="262">
        <v>5.1074649427725098E-2</v>
      </c>
      <c r="PL8" s="261">
        <v>51473.764999999999</v>
      </c>
      <c r="PM8" s="261">
        <v>48793.472999999998</v>
      </c>
      <c r="PN8" s="262">
        <v>5.4931363463305703E-2</v>
      </c>
      <c r="PO8" s="261">
        <v>217516.79800000001</v>
      </c>
      <c r="PP8" s="261">
        <v>207227.144</v>
      </c>
      <c r="PQ8" s="262">
        <v>4.9653987413926903E-2</v>
      </c>
      <c r="PR8" s="261">
        <v>8532.6329999999998</v>
      </c>
      <c r="PS8" s="261">
        <v>7395.7849999999999</v>
      </c>
      <c r="PT8" s="262">
        <v>0.15371566371926701</v>
      </c>
      <c r="PU8" s="261">
        <v>29460.644</v>
      </c>
      <c r="PV8" s="261">
        <v>22457.165000000001</v>
      </c>
      <c r="PW8" s="262">
        <v>0.31185944441339802</v>
      </c>
      <c r="PX8" s="261">
        <v>323163.93900000001</v>
      </c>
      <c r="PY8" s="261">
        <v>266095.27299999999</v>
      </c>
      <c r="PZ8" s="262">
        <v>0.214467041659925</v>
      </c>
      <c r="QA8" s="261">
        <v>149590.31299999999</v>
      </c>
      <c r="QB8" s="261">
        <v>173833.432</v>
      </c>
      <c r="QC8" s="262">
        <v>-0.139461775108944</v>
      </c>
      <c r="QD8" s="261">
        <v>451036.52500000002</v>
      </c>
      <c r="QE8" s="261">
        <v>485965.62599999999</v>
      </c>
      <c r="QF8" s="262">
        <v>-7.1875661839506499E-2</v>
      </c>
      <c r="QG8" s="261">
        <v>1773968.335</v>
      </c>
      <c r="QH8" s="261">
        <v>1884410.7120000001</v>
      </c>
      <c r="QI8" s="263">
        <v>-5.8608442573956199E-2</v>
      </c>
      <c r="QJ8" s="261">
        <v>0</v>
      </c>
      <c r="QK8" s="261">
        <v>0</v>
      </c>
      <c r="QL8" s="262">
        <v>0</v>
      </c>
      <c r="QM8" s="261">
        <v>0</v>
      </c>
      <c r="QN8" s="261">
        <v>0</v>
      </c>
      <c r="QO8" s="262">
        <v>0</v>
      </c>
      <c r="QP8" s="261">
        <v>0</v>
      </c>
      <c r="QQ8" s="261">
        <v>0</v>
      </c>
      <c r="QR8" s="262">
        <v>0</v>
      </c>
      <c r="QS8" s="261">
        <v>14355.235000000001</v>
      </c>
      <c r="QT8" s="261">
        <v>14959.986999999999</v>
      </c>
      <c r="QU8" s="262">
        <v>-4.0424634058839698E-2</v>
      </c>
      <c r="QV8" s="261">
        <v>64551.455999999998</v>
      </c>
      <c r="QW8" s="261">
        <v>64530.483</v>
      </c>
      <c r="QX8" s="262">
        <v>3.25009189842855E-4</v>
      </c>
      <c r="QY8" s="261">
        <v>205997.43799999999</v>
      </c>
      <c r="QZ8" s="261">
        <v>199299.128</v>
      </c>
      <c r="RA8" s="262">
        <v>3.3609329188836197E-2</v>
      </c>
      <c r="RB8" s="261">
        <v>15899.897999999999</v>
      </c>
      <c r="RC8" s="261">
        <v>14727.669</v>
      </c>
      <c r="RD8" s="262">
        <v>7.9593654637404004E-2</v>
      </c>
      <c r="RE8" s="261">
        <v>67373.663</v>
      </c>
      <c r="RF8" s="261">
        <v>63521.142</v>
      </c>
      <c r="RG8" s="262">
        <v>6.0649429130225703E-2</v>
      </c>
      <c r="RH8" s="261">
        <v>218689.027</v>
      </c>
      <c r="RI8" s="261">
        <v>207055.66099999999</v>
      </c>
      <c r="RJ8" s="262">
        <v>5.6184728028276301E-2</v>
      </c>
      <c r="RK8" s="261">
        <v>8619.6</v>
      </c>
      <c r="RL8" s="261">
        <v>13863.616</v>
      </c>
      <c r="RM8" s="262">
        <v>-0.37825744740765999</v>
      </c>
      <c r="RN8" s="261">
        <v>38080.243999999999</v>
      </c>
      <c r="RO8" s="261">
        <v>36320.781000000003</v>
      </c>
      <c r="RP8" s="262">
        <v>4.8442322867451398E-2</v>
      </c>
      <c r="RQ8" s="261">
        <v>317919.92300000001</v>
      </c>
      <c r="RR8" s="261">
        <v>261021.18</v>
      </c>
      <c r="RS8" s="262">
        <v>0.21798515737305299</v>
      </c>
      <c r="RT8" s="261">
        <v>153416.853</v>
      </c>
      <c r="RU8" s="261">
        <v>146769.96599999999</v>
      </c>
      <c r="RV8" s="262">
        <v>4.5287787284763598E-2</v>
      </c>
      <c r="RW8" s="261">
        <v>604453.37800000003</v>
      </c>
      <c r="RX8" s="261">
        <v>632735.59199999995</v>
      </c>
      <c r="RY8" s="262">
        <v>-4.4698313731022198E-2</v>
      </c>
      <c r="RZ8" s="261">
        <v>1780615.2220000001</v>
      </c>
      <c r="SA8" s="261">
        <v>1883887.557</v>
      </c>
      <c r="SB8" s="263">
        <v>-5.4818736190633599E-2</v>
      </c>
      <c r="SC8" s="261">
        <v>0</v>
      </c>
      <c r="SD8" s="261">
        <v>0</v>
      </c>
      <c r="SE8" s="262">
        <v>0</v>
      </c>
      <c r="SF8" s="261">
        <v>0</v>
      </c>
      <c r="SG8" s="261">
        <v>0</v>
      </c>
      <c r="SH8" s="262">
        <v>0</v>
      </c>
      <c r="SI8" s="261">
        <v>0</v>
      </c>
      <c r="SJ8" s="261">
        <v>0</v>
      </c>
      <c r="SK8" s="262">
        <v>0</v>
      </c>
      <c r="SL8" s="261">
        <v>14791.665999999999</v>
      </c>
      <c r="SM8" s="261">
        <v>15764.476000000001</v>
      </c>
      <c r="SN8" s="262">
        <v>-6.1708996861043898E-2</v>
      </c>
      <c r="SO8" s="261">
        <v>79343.122000000003</v>
      </c>
      <c r="SP8" s="261">
        <v>80294.959000000003</v>
      </c>
      <c r="SQ8" s="262">
        <v>-1.1854256006283001E-2</v>
      </c>
      <c r="SR8" s="261">
        <v>205024.628</v>
      </c>
      <c r="SS8" s="261">
        <v>199118.28200000001</v>
      </c>
      <c r="ST8" s="262">
        <v>2.9662499799993199E-2</v>
      </c>
      <c r="SU8" s="261">
        <v>15893.558999999999</v>
      </c>
      <c r="SV8" s="261">
        <v>15925.374</v>
      </c>
      <c r="SW8" s="262">
        <v>-1.9977552803468702E-3</v>
      </c>
      <c r="SX8" s="261">
        <v>83267.221999999994</v>
      </c>
      <c r="SY8" s="261">
        <v>79446.516000000003</v>
      </c>
      <c r="SZ8" s="262">
        <v>4.8091548784845499E-2</v>
      </c>
      <c r="TA8" s="261">
        <v>218657.212</v>
      </c>
      <c r="TB8" s="261">
        <v>207437.02</v>
      </c>
      <c r="TC8" s="262">
        <v>5.4089631638557102E-2</v>
      </c>
      <c r="TD8" s="261">
        <v>22465.201000000001</v>
      </c>
      <c r="TE8" s="261">
        <v>17616.911</v>
      </c>
      <c r="TF8" s="262">
        <v>0.275206589849946</v>
      </c>
      <c r="TG8" s="261">
        <v>60545.445</v>
      </c>
      <c r="TH8" s="261">
        <v>53937.692000000003</v>
      </c>
      <c r="TI8" s="262">
        <v>0.122507151399804</v>
      </c>
      <c r="TJ8" s="261">
        <v>322768.21299999999</v>
      </c>
      <c r="TK8" s="261">
        <v>266003.995</v>
      </c>
      <c r="TL8" s="262">
        <v>0.21339611083660601</v>
      </c>
      <c r="TM8" s="261">
        <v>140311.111</v>
      </c>
      <c r="TN8" s="261">
        <v>139118.802</v>
      </c>
      <c r="TO8" s="262">
        <v>8.5704375171373904E-3</v>
      </c>
      <c r="TP8" s="261">
        <v>744764.48899999994</v>
      </c>
      <c r="TQ8" s="261">
        <v>771854.39399999997</v>
      </c>
      <c r="TR8" s="262">
        <v>-3.5097170153571798E-2</v>
      </c>
      <c r="TS8" s="261">
        <v>1781807.531</v>
      </c>
      <c r="TT8" s="261">
        <v>1876724.439</v>
      </c>
      <c r="TU8" s="263">
        <v>-5.0575836296230997E-2</v>
      </c>
      <c r="TV8" s="261">
        <v>0</v>
      </c>
      <c r="TW8" s="261">
        <v>0</v>
      </c>
      <c r="TX8" s="262">
        <v>0</v>
      </c>
      <c r="TY8" s="261">
        <v>0</v>
      </c>
      <c r="TZ8" s="261">
        <v>0</v>
      </c>
      <c r="UA8" s="262">
        <v>0</v>
      </c>
      <c r="UB8" s="261">
        <v>0</v>
      </c>
      <c r="UC8" s="261">
        <v>0</v>
      </c>
      <c r="UD8" s="262">
        <v>0</v>
      </c>
      <c r="UE8" s="261">
        <v>16619.151999999998</v>
      </c>
      <c r="UF8" s="261">
        <v>16852.822</v>
      </c>
      <c r="UG8" s="262">
        <v>-1.38653336515393E-2</v>
      </c>
      <c r="UH8" s="261">
        <v>95962.274000000005</v>
      </c>
      <c r="UI8" s="261">
        <v>97147.781000000003</v>
      </c>
      <c r="UJ8" s="262">
        <v>-1.22031299922332E-2</v>
      </c>
      <c r="UK8" s="261">
        <v>204790.95800000001</v>
      </c>
      <c r="UL8" s="261">
        <v>200231.68900000001</v>
      </c>
      <c r="UM8" s="262">
        <v>2.2769967245294499E-2</v>
      </c>
      <c r="UN8" s="261">
        <v>19075.949000000001</v>
      </c>
      <c r="UO8" s="261">
        <v>19073.338</v>
      </c>
      <c r="UP8" s="262">
        <v>1.3689266136849201E-4</v>
      </c>
      <c r="UQ8" s="261">
        <v>102343.171</v>
      </c>
      <c r="UR8" s="261">
        <v>98519.854000000007</v>
      </c>
      <c r="US8" s="262">
        <v>3.8807578825685203E-2</v>
      </c>
      <c r="UT8" s="261">
        <v>218659.823</v>
      </c>
      <c r="UU8" s="261">
        <v>210559.193</v>
      </c>
      <c r="UV8" s="262">
        <v>3.8471984455221597E-2</v>
      </c>
      <c r="UW8" s="261">
        <v>36617.978999999999</v>
      </c>
      <c r="UX8" s="261">
        <v>36758.597999999998</v>
      </c>
      <c r="UY8" s="262">
        <v>-3.8254723425523102E-3</v>
      </c>
      <c r="UZ8" s="261">
        <v>97163.423999999999</v>
      </c>
      <c r="VA8" s="261">
        <v>90696.29</v>
      </c>
      <c r="VB8" s="262">
        <v>7.13053863614488E-2</v>
      </c>
      <c r="VC8" s="261">
        <v>322627.59399999998</v>
      </c>
      <c r="VD8" s="261">
        <v>284243.73599999998</v>
      </c>
      <c r="VE8" s="262">
        <v>0.135038536082287</v>
      </c>
      <c r="VF8" s="261">
        <v>133397.61600000001</v>
      </c>
      <c r="VG8" s="261">
        <v>133454.46299999999</v>
      </c>
      <c r="VH8" s="262">
        <v>-4.2596552203712901E-4</v>
      </c>
      <c r="VI8" s="261">
        <v>878162.10499999998</v>
      </c>
      <c r="VJ8" s="261">
        <v>905308.85699999996</v>
      </c>
      <c r="VK8" s="262">
        <v>-2.99861774134835E-2</v>
      </c>
      <c r="VL8" s="261">
        <v>1781750.6839999999</v>
      </c>
      <c r="VM8" s="261">
        <v>1859474.5490000001</v>
      </c>
      <c r="VN8" s="263">
        <v>-4.179883238617E-2</v>
      </c>
    </row>
    <row r="9" spans="1:586">
      <c r="A9" s="267" t="s">
        <v>134</v>
      </c>
      <c r="B9" s="261">
        <v>0</v>
      </c>
      <c r="C9" s="261">
        <v>0</v>
      </c>
      <c r="D9" s="262">
        <v>0</v>
      </c>
      <c r="E9" s="261">
        <v>0</v>
      </c>
      <c r="F9" s="261">
        <v>0</v>
      </c>
      <c r="G9" s="262">
        <v>0</v>
      </c>
      <c r="H9" s="261">
        <v>0</v>
      </c>
      <c r="I9" s="261">
        <v>0</v>
      </c>
      <c r="J9" s="262">
        <v>0</v>
      </c>
      <c r="K9" s="261">
        <v>9.1240000000000006</v>
      </c>
      <c r="L9" s="261">
        <v>186.66</v>
      </c>
      <c r="M9" s="262">
        <v>-0.95111968284581605</v>
      </c>
      <c r="N9" s="261">
        <v>37.128</v>
      </c>
      <c r="O9" s="261">
        <v>303.35000000000002</v>
      </c>
      <c r="P9" s="262">
        <v>-0.87760672490522496</v>
      </c>
      <c r="Q9" s="261">
        <v>373.85</v>
      </c>
      <c r="R9" s="261">
        <v>519.66600000000005</v>
      </c>
      <c r="S9" s="262">
        <v>-0.28059561333625799</v>
      </c>
      <c r="T9" s="261">
        <v>5.3070000000000004</v>
      </c>
      <c r="U9" s="261">
        <v>141.054</v>
      </c>
      <c r="V9" s="262">
        <v>-0.962376111276533</v>
      </c>
      <c r="W9" s="261">
        <v>22.585999999999999</v>
      </c>
      <c r="X9" s="261">
        <v>219.274</v>
      </c>
      <c r="Y9" s="262">
        <v>-0.89699645192772504</v>
      </c>
      <c r="Z9" s="261">
        <v>55.539000000000001</v>
      </c>
      <c r="AA9" s="261">
        <v>238.703</v>
      </c>
      <c r="AB9" s="262">
        <v>-0.76733011315316502</v>
      </c>
      <c r="AC9" s="261">
        <v>46078.491000000002</v>
      </c>
      <c r="AD9" s="261">
        <v>43667.93</v>
      </c>
      <c r="AE9" s="262">
        <v>5.5202089954802101E-2</v>
      </c>
      <c r="AF9" s="261">
        <v>167031.913</v>
      </c>
      <c r="AG9" s="261">
        <v>178055.12299999999</v>
      </c>
      <c r="AH9" s="262">
        <v>-6.1908974110225501E-2</v>
      </c>
      <c r="AI9" s="261">
        <v>402927.462</v>
      </c>
      <c r="AJ9" s="261">
        <v>440843.79700000002</v>
      </c>
      <c r="AK9" s="262">
        <v>-8.6008548284053604E-2</v>
      </c>
      <c r="AL9" s="261">
        <v>14439.682000000001</v>
      </c>
      <c r="AM9" s="261">
        <v>26814.177</v>
      </c>
      <c r="AN9" s="262">
        <v>-0.461490762890094</v>
      </c>
      <c r="AO9" s="261">
        <v>132785.66500000001</v>
      </c>
      <c r="AP9" s="261">
        <v>130364.44100000001</v>
      </c>
      <c r="AQ9" s="262">
        <v>1.8572733342215601E-2</v>
      </c>
      <c r="AR9" s="261">
        <v>256200.03899999999</v>
      </c>
      <c r="AS9" s="261">
        <v>263803.571</v>
      </c>
      <c r="AT9" s="263">
        <v>-2.8822703086153499E-2</v>
      </c>
      <c r="AU9" s="261">
        <v>0</v>
      </c>
      <c r="AV9" s="261">
        <v>0</v>
      </c>
      <c r="AW9" s="262">
        <v>0</v>
      </c>
      <c r="AX9" s="261">
        <v>0</v>
      </c>
      <c r="AY9" s="261">
        <v>0</v>
      </c>
      <c r="AZ9" s="262">
        <v>0</v>
      </c>
      <c r="BA9" s="261">
        <v>0</v>
      </c>
      <c r="BB9" s="261">
        <v>0</v>
      </c>
      <c r="BC9" s="262">
        <v>0</v>
      </c>
      <c r="BD9" s="261">
        <v>105.46899999999999</v>
      </c>
      <c r="BE9" s="261">
        <v>22.216000000000001</v>
      </c>
      <c r="BF9" s="262">
        <v>3.7474342815988502</v>
      </c>
      <c r="BG9" s="261">
        <v>142.59700000000001</v>
      </c>
      <c r="BH9" s="261">
        <v>325.56599999999997</v>
      </c>
      <c r="BI9" s="262">
        <v>-0.56200278898902201</v>
      </c>
      <c r="BJ9" s="261">
        <v>457.10300000000001</v>
      </c>
      <c r="BK9" s="261">
        <v>534.84400000000005</v>
      </c>
      <c r="BL9" s="262">
        <v>-0.14535266358040899</v>
      </c>
      <c r="BM9" s="261">
        <v>7.8259999999999996</v>
      </c>
      <c r="BN9" s="261">
        <v>29.315999999999999</v>
      </c>
      <c r="BO9" s="262">
        <v>-0.73304680038204395</v>
      </c>
      <c r="BP9" s="261">
        <v>30.411999999999999</v>
      </c>
      <c r="BQ9" s="261">
        <v>248.59</v>
      </c>
      <c r="BR9" s="262">
        <v>-0.87766201375759301</v>
      </c>
      <c r="BS9" s="261">
        <v>34.048999999999999</v>
      </c>
      <c r="BT9" s="261">
        <v>258.673</v>
      </c>
      <c r="BU9" s="262">
        <v>-0.868370490928702</v>
      </c>
      <c r="BV9" s="261">
        <v>58218.540999999997</v>
      </c>
      <c r="BW9" s="261">
        <v>52690.387999999999</v>
      </c>
      <c r="BX9" s="262">
        <v>0.10491767492773101</v>
      </c>
      <c r="BY9" s="261">
        <v>225250.454</v>
      </c>
      <c r="BZ9" s="261">
        <v>230745.511</v>
      </c>
      <c r="CA9" s="262">
        <v>-2.3814361441683699E-2</v>
      </c>
      <c r="CB9" s="261">
        <v>408455.61499999999</v>
      </c>
      <c r="CC9" s="261">
        <v>426124.136</v>
      </c>
      <c r="CD9" s="262">
        <v>-4.1463319036216299E-2</v>
      </c>
      <c r="CE9" s="261">
        <v>17277.45</v>
      </c>
      <c r="CF9" s="261">
        <v>16554.684000000001</v>
      </c>
      <c r="CG9" s="262">
        <v>4.3659305124761003E-2</v>
      </c>
      <c r="CH9" s="261">
        <v>150063.11499999999</v>
      </c>
      <c r="CI9" s="261">
        <v>146919.125</v>
      </c>
      <c r="CJ9" s="262">
        <v>2.1399460417423501E-2</v>
      </c>
      <c r="CK9" s="261">
        <v>256922.80499999999</v>
      </c>
      <c r="CL9" s="261">
        <v>264711.80699999997</v>
      </c>
      <c r="CM9" s="263">
        <v>-2.9424460088400901E-2</v>
      </c>
      <c r="CN9" s="261">
        <v>0</v>
      </c>
      <c r="CO9" s="261">
        <v>0</v>
      </c>
      <c r="CP9" s="262">
        <v>0</v>
      </c>
      <c r="CQ9" s="261">
        <v>0</v>
      </c>
      <c r="CR9" s="261">
        <v>0</v>
      </c>
      <c r="CS9" s="262">
        <v>0</v>
      </c>
      <c r="CT9" s="261">
        <v>0</v>
      </c>
      <c r="CU9" s="261">
        <v>0</v>
      </c>
      <c r="CV9" s="262">
        <v>0</v>
      </c>
      <c r="CW9" s="261">
        <v>3.5369999999999999</v>
      </c>
      <c r="CX9" s="261">
        <v>30.864999999999998</v>
      </c>
      <c r="CY9" s="262">
        <v>-0.88540417949133299</v>
      </c>
      <c r="CZ9" s="261">
        <v>146.13399999999999</v>
      </c>
      <c r="DA9" s="261">
        <v>356.43099999999998</v>
      </c>
      <c r="DB9" s="262">
        <v>-0.59000760315460798</v>
      </c>
      <c r="DC9" s="261">
        <v>429.77499999999998</v>
      </c>
      <c r="DD9" s="261">
        <v>562.17499999999995</v>
      </c>
      <c r="DE9" s="262">
        <v>-0.23551385244808101</v>
      </c>
      <c r="DF9" s="261">
        <v>65.427999999999997</v>
      </c>
      <c r="DG9" s="261">
        <v>2.2639999999999998</v>
      </c>
      <c r="DH9" s="262">
        <v>27.899293286219098</v>
      </c>
      <c r="DI9" s="261">
        <v>95.84</v>
      </c>
      <c r="DJ9" s="261">
        <v>250.85400000000001</v>
      </c>
      <c r="DK9" s="262">
        <v>-0.61794509953997201</v>
      </c>
      <c r="DL9" s="261">
        <v>97.212999999999994</v>
      </c>
      <c r="DM9" s="261">
        <v>258.07299999999998</v>
      </c>
      <c r="DN9" s="262">
        <v>-0.62331200861771696</v>
      </c>
      <c r="DO9" s="261">
        <v>51241.262999999999</v>
      </c>
      <c r="DP9" s="261">
        <v>57984.402000000002</v>
      </c>
      <c r="DQ9" s="262">
        <v>-0.116292291847728</v>
      </c>
      <c r="DR9" s="261">
        <v>276491.717</v>
      </c>
      <c r="DS9" s="261">
        <v>288729.913</v>
      </c>
      <c r="DT9" s="262">
        <v>-4.2386311389911301E-2</v>
      </c>
      <c r="DU9" s="261">
        <v>401712.47600000002</v>
      </c>
      <c r="DV9" s="261">
        <v>430356.902</v>
      </c>
      <c r="DW9" s="262">
        <v>-6.6559699326025901E-2</v>
      </c>
      <c r="DX9" s="261">
        <v>21905.804</v>
      </c>
      <c r="DY9" s="261">
        <v>15849.519</v>
      </c>
      <c r="DZ9" s="262">
        <v>0.38211159594180699</v>
      </c>
      <c r="EA9" s="261">
        <v>171968.91899999999</v>
      </c>
      <c r="EB9" s="261">
        <v>162768.644</v>
      </c>
      <c r="EC9" s="262">
        <v>5.6523632401827902E-2</v>
      </c>
      <c r="ED9" s="261">
        <v>262979.09000000003</v>
      </c>
      <c r="EE9" s="261">
        <v>263489.842</v>
      </c>
      <c r="EF9" s="263">
        <v>-1.93841248726385E-3</v>
      </c>
      <c r="EG9" s="261">
        <v>0</v>
      </c>
      <c r="EH9" s="261">
        <v>0</v>
      </c>
      <c r="EI9" s="262">
        <v>0</v>
      </c>
      <c r="EJ9" s="261">
        <v>0</v>
      </c>
      <c r="EK9" s="261">
        <v>0</v>
      </c>
      <c r="EL9" s="262">
        <v>0</v>
      </c>
      <c r="EM9" s="261">
        <v>0</v>
      </c>
      <c r="EN9" s="261">
        <v>0</v>
      </c>
      <c r="EO9" s="262">
        <v>0</v>
      </c>
      <c r="EP9" s="261">
        <v>16.175999999999998</v>
      </c>
      <c r="EQ9" s="261">
        <v>261.90199999999999</v>
      </c>
      <c r="ER9" s="262">
        <v>-0.93823643958427205</v>
      </c>
      <c r="ES9" s="261">
        <v>162.31</v>
      </c>
      <c r="ET9" s="261">
        <v>618.33299999999997</v>
      </c>
      <c r="EU9" s="262">
        <v>-0.73750390161935397</v>
      </c>
      <c r="EV9" s="261">
        <v>184.04900000000001</v>
      </c>
      <c r="EW9" s="261">
        <v>642.68499999999995</v>
      </c>
      <c r="EX9" s="262">
        <v>-0.71362487065980995</v>
      </c>
      <c r="EY9" s="261">
        <v>5.74</v>
      </c>
      <c r="EZ9" s="261">
        <v>1.373</v>
      </c>
      <c r="FA9" s="262">
        <v>3.1806263656227198</v>
      </c>
      <c r="FB9" s="261">
        <v>101.58</v>
      </c>
      <c r="FC9" s="261">
        <v>252.227</v>
      </c>
      <c r="FD9" s="262">
        <v>-0.59726754074702604</v>
      </c>
      <c r="FE9" s="261">
        <v>101.58</v>
      </c>
      <c r="FF9" s="261">
        <v>257.35399999999998</v>
      </c>
      <c r="FG9" s="262">
        <v>-0.60529076680370197</v>
      </c>
      <c r="FH9" s="261">
        <v>39777.389000000003</v>
      </c>
      <c r="FI9" s="261">
        <v>36627.74</v>
      </c>
      <c r="FJ9" s="262">
        <v>8.5990809151752098E-2</v>
      </c>
      <c r="FK9" s="261">
        <v>316269.10600000003</v>
      </c>
      <c r="FL9" s="261">
        <v>325357.65299999999</v>
      </c>
      <c r="FM9" s="262">
        <v>-2.7934019428152299E-2</v>
      </c>
      <c r="FN9" s="261">
        <v>404862.125</v>
      </c>
      <c r="FO9" s="261">
        <v>417388.31900000002</v>
      </c>
      <c r="FP9" s="262">
        <v>-3.0010887774748699E-2</v>
      </c>
      <c r="FQ9" s="261">
        <v>21204.672999999999</v>
      </c>
      <c r="FR9" s="261">
        <v>24502.909</v>
      </c>
      <c r="FS9" s="262">
        <v>-0.13460589516126401</v>
      </c>
      <c r="FT9" s="261">
        <v>193173.592</v>
      </c>
      <c r="FU9" s="261">
        <v>187271.55300000001</v>
      </c>
      <c r="FV9" s="262">
        <v>3.1515939850191702E-2</v>
      </c>
      <c r="FW9" s="261">
        <v>259680.85399999999</v>
      </c>
      <c r="FX9" s="261">
        <v>269536.788</v>
      </c>
      <c r="FY9" s="263">
        <v>-3.6566192218629598E-2</v>
      </c>
      <c r="FZ9" s="261">
        <v>0</v>
      </c>
      <c r="GA9" s="261">
        <v>0</v>
      </c>
      <c r="GB9" s="262">
        <v>0</v>
      </c>
      <c r="GC9" s="261">
        <v>0</v>
      </c>
      <c r="GD9" s="261">
        <v>0</v>
      </c>
      <c r="GE9" s="262">
        <v>0</v>
      </c>
      <c r="GF9" s="261">
        <v>0</v>
      </c>
      <c r="GG9" s="261">
        <v>0</v>
      </c>
      <c r="GH9" s="262">
        <v>0</v>
      </c>
      <c r="GI9" s="261">
        <v>1.8620000000000001</v>
      </c>
      <c r="GJ9" s="261">
        <v>21.739000000000001</v>
      </c>
      <c r="GK9" s="262">
        <v>-0.914347486084917</v>
      </c>
      <c r="GL9" s="261">
        <v>164.172</v>
      </c>
      <c r="GM9" s="261">
        <v>640.072</v>
      </c>
      <c r="GN9" s="262">
        <v>-0.74351010511317495</v>
      </c>
      <c r="GO9" s="261">
        <v>164.172</v>
      </c>
      <c r="GP9" s="261">
        <v>662.47</v>
      </c>
      <c r="GQ9" s="262">
        <v>-0.75218198559934801</v>
      </c>
      <c r="GR9" s="261">
        <v>0.30299999999999999</v>
      </c>
      <c r="GS9" s="261">
        <v>0</v>
      </c>
      <c r="GT9" s="262">
        <v>0</v>
      </c>
      <c r="GU9" s="261">
        <v>101.883</v>
      </c>
      <c r="GV9" s="261">
        <v>252.227</v>
      </c>
      <c r="GW9" s="262">
        <v>-0.59606624191700297</v>
      </c>
      <c r="GX9" s="261">
        <v>101.883</v>
      </c>
      <c r="GY9" s="261">
        <v>255.215</v>
      </c>
      <c r="GZ9" s="262">
        <v>-0.60079540779342899</v>
      </c>
      <c r="HA9" s="261">
        <v>43751.63</v>
      </c>
      <c r="HB9" s="261">
        <v>40918.339999999997</v>
      </c>
      <c r="HC9" s="262">
        <v>6.92425450299302E-2</v>
      </c>
      <c r="HD9" s="261">
        <v>360020.73599999998</v>
      </c>
      <c r="HE9" s="261">
        <v>366275.99300000002</v>
      </c>
      <c r="HF9" s="262">
        <v>-1.7077987964119801E-2</v>
      </c>
      <c r="HG9" s="261">
        <v>407695.41499999998</v>
      </c>
      <c r="HH9" s="261">
        <v>413697.81300000002</v>
      </c>
      <c r="HI9" s="262">
        <v>-1.45091364067714E-2</v>
      </c>
      <c r="HJ9" s="261">
        <v>28975.633999999998</v>
      </c>
      <c r="HK9" s="261">
        <v>16364.427</v>
      </c>
      <c r="HL9" s="262">
        <v>0.77064763709722295</v>
      </c>
      <c r="HM9" s="261">
        <v>222149.226</v>
      </c>
      <c r="HN9" s="261">
        <v>203635.98</v>
      </c>
      <c r="HO9" s="262">
        <v>9.0913432881556497E-2</v>
      </c>
      <c r="HP9" s="261">
        <v>272292.06099999999</v>
      </c>
      <c r="HQ9" s="261">
        <v>254931.549</v>
      </c>
      <c r="HR9" s="263">
        <v>6.8098719315434694E-2</v>
      </c>
      <c r="HS9" s="261">
        <v>0</v>
      </c>
      <c r="HT9" s="261">
        <v>0</v>
      </c>
      <c r="HU9" s="262">
        <v>0</v>
      </c>
      <c r="HV9" s="261">
        <v>0</v>
      </c>
      <c r="HW9" s="261">
        <v>0</v>
      </c>
      <c r="HX9" s="262">
        <v>0</v>
      </c>
      <c r="HY9" s="261">
        <v>0</v>
      </c>
      <c r="HZ9" s="261">
        <v>0</v>
      </c>
      <c r="IA9" s="262">
        <v>0</v>
      </c>
      <c r="IB9" s="261">
        <v>16.105</v>
      </c>
      <c r="IC9" s="261">
        <v>0</v>
      </c>
      <c r="ID9" s="262">
        <v>0</v>
      </c>
      <c r="IE9" s="261">
        <v>180.27699999999999</v>
      </c>
      <c r="IF9" s="261">
        <v>640.072</v>
      </c>
      <c r="IG9" s="262">
        <v>-0.718348873251759</v>
      </c>
      <c r="IH9" s="261">
        <v>180.27699999999999</v>
      </c>
      <c r="II9" s="261">
        <v>650.31799999999998</v>
      </c>
      <c r="IJ9" s="262">
        <v>-0.72278639065810901</v>
      </c>
      <c r="IK9" s="261">
        <v>0</v>
      </c>
      <c r="IL9" s="261">
        <v>0</v>
      </c>
      <c r="IM9" s="262">
        <v>0</v>
      </c>
      <c r="IN9" s="261">
        <v>101.883</v>
      </c>
      <c r="IO9" s="261">
        <v>252.227</v>
      </c>
      <c r="IP9" s="262">
        <v>-0.59606624191700297</v>
      </c>
      <c r="IQ9" s="261">
        <v>101.883</v>
      </c>
      <c r="IR9" s="261">
        <v>254.16800000000001</v>
      </c>
      <c r="IS9" s="262">
        <v>-0.59915095527367701</v>
      </c>
      <c r="IT9" s="261">
        <v>32383.879000000001</v>
      </c>
      <c r="IU9" s="261">
        <v>22217.788</v>
      </c>
      <c r="IV9" s="262">
        <v>0.45756539759943698</v>
      </c>
      <c r="IW9" s="261">
        <v>392404.61499999999</v>
      </c>
      <c r="IX9" s="261">
        <v>388493.78100000002</v>
      </c>
      <c r="IY9" s="262">
        <v>1.0066657926758499E-2</v>
      </c>
      <c r="IZ9" s="261">
        <v>417861.50599999999</v>
      </c>
      <c r="JA9" s="261">
        <v>411415.81699999998</v>
      </c>
      <c r="JB9" s="262">
        <v>1.5667090893590901E-2</v>
      </c>
      <c r="JC9" s="261">
        <v>21440.82</v>
      </c>
      <c r="JD9" s="261">
        <v>29713.278999999999</v>
      </c>
      <c r="JE9" s="262">
        <v>-0.278409494960149</v>
      </c>
      <c r="JF9" s="261">
        <v>243590.046</v>
      </c>
      <c r="JG9" s="261">
        <v>233349.25899999999</v>
      </c>
      <c r="JH9" s="262">
        <v>4.3886091791703601E-2</v>
      </c>
      <c r="JI9" s="261">
        <v>264019.60200000001</v>
      </c>
      <c r="JJ9" s="261">
        <v>260056.16500000001</v>
      </c>
      <c r="JK9" s="263">
        <v>1.52406961780737E-2</v>
      </c>
      <c r="JL9" s="261">
        <v>0</v>
      </c>
      <c r="JM9" s="261">
        <v>0</v>
      </c>
      <c r="JN9" s="262">
        <v>0</v>
      </c>
      <c r="JO9" s="261">
        <v>0</v>
      </c>
      <c r="JP9" s="261">
        <v>0</v>
      </c>
      <c r="JQ9" s="262">
        <v>0</v>
      </c>
      <c r="JR9" s="261">
        <v>0</v>
      </c>
      <c r="JS9" s="261">
        <v>0</v>
      </c>
      <c r="JT9" s="262">
        <v>0</v>
      </c>
      <c r="JU9" s="261">
        <v>3.1240000000000001</v>
      </c>
      <c r="JV9" s="261">
        <v>0</v>
      </c>
      <c r="JW9" s="262">
        <v>0</v>
      </c>
      <c r="JX9" s="261">
        <v>183.40100000000001</v>
      </c>
      <c r="JY9" s="261">
        <v>640.072</v>
      </c>
      <c r="JZ9" s="262">
        <v>-0.71346817233061299</v>
      </c>
      <c r="KA9" s="261">
        <v>183.40100000000001</v>
      </c>
      <c r="KB9" s="261">
        <v>640.072</v>
      </c>
      <c r="KC9" s="262">
        <v>-0.71346817233061299</v>
      </c>
      <c r="KD9" s="261">
        <v>0</v>
      </c>
      <c r="KE9" s="261">
        <v>0</v>
      </c>
      <c r="KF9" s="262">
        <v>0</v>
      </c>
      <c r="KG9" s="261">
        <v>101.883</v>
      </c>
      <c r="KH9" s="261">
        <v>252.227</v>
      </c>
      <c r="KI9" s="262">
        <v>-0.59606624191700297</v>
      </c>
      <c r="KJ9" s="261">
        <v>101.883</v>
      </c>
      <c r="KK9" s="261">
        <v>252.227</v>
      </c>
      <c r="KL9" s="262">
        <v>-0.59606624191700297</v>
      </c>
      <c r="KM9" s="261">
        <v>25042.332999999999</v>
      </c>
      <c r="KN9" s="261">
        <v>25456.891</v>
      </c>
      <c r="KO9" s="262">
        <v>-1.6284706565306901E-2</v>
      </c>
      <c r="KP9" s="261">
        <v>417446.94799999997</v>
      </c>
      <c r="KQ9" s="261">
        <v>413950.67200000002</v>
      </c>
      <c r="KR9" s="262">
        <v>8.4461174639667101E-3</v>
      </c>
      <c r="KS9" s="261">
        <v>417446.94799999997</v>
      </c>
      <c r="KT9" s="261">
        <v>413950.67200000002</v>
      </c>
      <c r="KU9" s="262">
        <v>8.4461174639667101E-3</v>
      </c>
      <c r="KV9" s="261">
        <v>25811.325000000001</v>
      </c>
      <c r="KW9" s="261">
        <v>20429.556</v>
      </c>
      <c r="KX9" s="262">
        <v>0.26343054151543999</v>
      </c>
      <c r="KY9" s="261">
        <v>269401.37099999998</v>
      </c>
      <c r="KZ9" s="261">
        <v>253778.815</v>
      </c>
      <c r="LA9" s="262">
        <v>6.1559732635681097E-2</v>
      </c>
      <c r="LB9" s="261">
        <v>269401.37099999998</v>
      </c>
      <c r="LC9" s="261">
        <v>253778.815</v>
      </c>
      <c r="LD9" s="263">
        <v>6.1559732635681097E-2</v>
      </c>
      <c r="LE9" s="261">
        <v>0</v>
      </c>
      <c r="LF9" s="261">
        <v>0</v>
      </c>
      <c r="LG9" s="262">
        <v>0</v>
      </c>
      <c r="LH9" s="261">
        <v>0</v>
      </c>
      <c r="LI9" s="261">
        <v>0</v>
      </c>
      <c r="LJ9" s="262">
        <v>0</v>
      </c>
      <c r="LK9" s="261">
        <v>0</v>
      </c>
      <c r="LL9" s="261">
        <v>0</v>
      </c>
      <c r="LM9" s="262">
        <v>0</v>
      </c>
      <c r="LN9" s="261">
        <v>5.2789999999999999</v>
      </c>
      <c r="LO9" s="261">
        <v>3.4870000000000001</v>
      </c>
      <c r="LP9" s="262">
        <v>0.51390880412962403</v>
      </c>
      <c r="LQ9" s="261">
        <v>5.2789999999999999</v>
      </c>
      <c r="LR9" s="261">
        <v>3.4870000000000001</v>
      </c>
      <c r="LS9" s="262">
        <v>0.51390880412962403</v>
      </c>
      <c r="LT9" s="261">
        <v>185.19300000000001</v>
      </c>
      <c r="LU9" s="261">
        <v>639.9</v>
      </c>
      <c r="LV9" s="262">
        <v>-0.71059071729957801</v>
      </c>
      <c r="LW9" s="261">
        <v>7.069</v>
      </c>
      <c r="LX9" s="261">
        <v>1.403</v>
      </c>
      <c r="LY9" s="262">
        <v>4.0384889522451903</v>
      </c>
      <c r="LZ9" s="261">
        <v>7.069</v>
      </c>
      <c r="MA9" s="261">
        <v>1.403</v>
      </c>
      <c r="MB9" s="262">
        <v>4.0384889522451903</v>
      </c>
      <c r="MC9" s="261">
        <v>107.54900000000001</v>
      </c>
      <c r="MD9" s="261">
        <v>251.18199999999999</v>
      </c>
      <c r="ME9" s="262">
        <v>-0.57182839534679997</v>
      </c>
      <c r="MF9" s="261">
        <v>28074.463</v>
      </c>
      <c r="MG9" s="261">
        <v>23827.804</v>
      </c>
      <c r="MH9" s="262">
        <v>0.17822284420335199</v>
      </c>
      <c r="MI9" s="261">
        <v>28074.463</v>
      </c>
      <c r="MJ9" s="261">
        <v>23827.804</v>
      </c>
      <c r="MK9" s="262">
        <v>0.17822284420335199</v>
      </c>
      <c r="ML9" s="261">
        <v>421693.60700000002</v>
      </c>
      <c r="MM9" s="261">
        <v>412278.78899999999</v>
      </c>
      <c r="MN9" s="262">
        <v>2.2836047478542398E-2</v>
      </c>
      <c r="MO9" s="261">
        <v>28873.300999999999</v>
      </c>
      <c r="MP9" s="261">
        <v>37045.735999999997</v>
      </c>
      <c r="MQ9" s="262">
        <v>-0.220603931313445</v>
      </c>
      <c r="MR9" s="261">
        <v>28873.300999999999</v>
      </c>
      <c r="MS9" s="261">
        <v>37045.735999999997</v>
      </c>
      <c r="MT9" s="262">
        <v>-0.220603931313445</v>
      </c>
      <c r="MU9" s="261">
        <v>261228.93599999999</v>
      </c>
      <c r="MV9" s="261">
        <v>262543.15899999999</v>
      </c>
      <c r="MW9" s="263">
        <v>-5.0057407894600597E-3</v>
      </c>
      <c r="MX9" s="261">
        <v>0</v>
      </c>
      <c r="MY9" s="261">
        <v>0</v>
      </c>
      <c r="MZ9" s="262">
        <v>0</v>
      </c>
      <c r="NA9" s="261">
        <v>0</v>
      </c>
      <c r="NB9" s="261">
        <v>0</v>
      </c>
      <c r="NC9" s="262">
        <v>0</v>
      </c>
      <c r="ND9" s="261">
        <v>0</v>
      </c>
      <c r="NE9" s="261">
        <v>0</v>
      </c>
      <c r="NF9" s="262">
        <v>0</v>
      </c>
      <c r="NG9" s="261">
        <v>20.5</v>
      </c>
      <c r="NH9" s="261">
        <v>9.0069999999999997</v>
      </c>
      <c r="NI9" s="262">
        <v>1.2760075496835801</v>
      </c>
      <c r="NJ9" s="261">
        <v>25.779</v>
      </c>
      <c r="NK9" s="261">
        <v>12.494</v>
      </c>
      <c r="NL9" s="262">
        <v>1.0633103889867099</v>
      </c>
      <c r="NM9" s="261">
        <v>196.68600000000001</v>
      </c>
      <c r="NN9" s="261">
        <v>648.90700000000004</v>
      </c>
      <c r="NO9" s="262">
        <v>-0.696896473608699</v>
      </c>
      <c r="NP9" s="261">
        <v>0</v>
      </c>
      <c r="NQ9" s="261">
        <v>6.6280000000000001</v>
      </c>
      <c r="NR9" s="262">
        <v>-1</v>
      </c>
      <c r="NS9" s="261">
        <v>7.069</v>
      </c>
      <c r="NT9" s="261">
        <v>8.0310000000000006</v>
      </c>
      <c r="NU9" s="262">
        <v>-0.119785829909102</v>
      </c>
      <c r="NV9" s="261">
        <v>100.92100000000001</v>
      </c>
      <c r="NW9" s="261">
        <v>256.048</v>
      </c>
      <c r="NX9" s="262">
        <v>-0.605851246641255</v>
      </c>
      <c r="NY9" s="261">
        <v>21743.562000000002</v>
      </c>
      <c r="NZ9" s="261">
        <v>22326.348000000002</v>
      </c>
      <c r="OA9" s="262">
        <v>-2.6103059936179299E-2</v>
      </c>
      <c r="OB9" s="261">
        <v>49818.025000000001</v>
      </c>
      <c r="OC9" s="261">
        <v>46154.152000000002</v>
      </c>
      <c r="OD9" s="262">
        <v>7.9383388952742495E-2</v>
      </c>
      <c r="OE9" s="261">
        <v>421110.821</v>
      </c>
      <c r="OF9" s="261">
        <v>410501.40700000001</v>
      </c>
      <c r="OG9" s="262">
        <v>2.5845012511735401E-2</v>
      </c>
      <c r="OH9" s="261">
        <v>25555.016</v>
      </c>
      <c r="OI9" s="261">
        <v>22268.399000000001</v>
      </c>
      <c r="OJ9" s="262">
        <v>0.147591077382797</v>
      </c>
      <c r="OK9" s="261">
        <v>54428.317000000003</v>
      </c>
      <c r="OL9" s="261">
        <v>59314.135000000002</v>
      </c>
      <c r="OM9" s="262">
        <v>-8.2371900053840402E-2</v>
      </c>
      <c r="ON9" s="261">
        <v>264515.55300000001</v>
      </c>
      <c r="OO9" s="261">
        <v>261257.46299999999</v>
      </c>
      <c r="OP9" s="263">
        <v>1.2470801647492201E-2</v>
      </c>
      <c r="OQ9" s="261">
        <v>0</v>
      </c>
      <c r="OR9" s="261">
        <v>0</v>
      </c>
      <c r="OS9" s="262">
        <v>0</v>
      </c>
      <c r="OT9" s="261">
        <v>0</v>
      </c>
      <c r="OU9" s="261">
        <v>0</v>
      </c>
      <c r="OV9" s="262">
        <v>0</v>
      </c>
      <c r="OW9" s="261">
        <v>0</v>
      </c>
      <c r="OX9" s="261">
        <v>0</v>
      </c>
      <c r="OY9" s="262">
        <v>0</v>
      </c>
      <c r="OZ9" s="261">
        <v>3.0230000000000001</v>
      </c>
      <c r="PA9" s="261">
        <v>3.1019999999999999</v>
      </c>
      <c r="PB9" s="262">
        <v>-2.54674403610573E-2</v>
      </c>
      <c r="PC9" s="261">
        <v>28.802</v>
      </c>
      <c r="PD9" s="261">
        <v>15.596</v>
      </c>
      <c r="PE9" s="262">
        <v>0.84675557835342397</v>
      </c>
      <c r="PF9" s="261">
        <v>196.607</v>
      </c>
      <c r="PG9" s="261">
        <v>565.13300000000004</v>
      </c>
      <c r="PH9" s="262">
        <v>-0.652104902739709</v>
      </c>
      <c r="PI9" s="261">
        <v>41.225000000000001</v>
      </c>
      <c r="PJ9" s="261">
        <v>3.7170000000000001</v>
      </c>
      <c r="PK9" s="262">
        <v>10.090933548560701</v>
      </c>
      <c r="PL9" s="261">
        <v>48.293999999999997</v>
      </c>
      <c r="PM9" s="261">
        <v>11.747999999999999</v>
      </c>
      <c r="PN9" s="262">
        <v>3.1108273748723199</v>
      </c>
      <c r="PO9" s="261">
        <v>138.429</v>
      </c>
      <c r="PP9" s="261">
        <v>258.03800000000001</v>
      </c>
      <c r="PQ9" s="262">
        <v>-0.46353250296468002</v>
      </c>
      <c r="PR9" s="261">
        <v>24257.366999999998</v>
      </c>
      <c r="PS9" s="261">
        <v>24290.578000000001</v>
      </c>
      <c r="PT9" s="262">
        <v>-1.3672379471579199E-3</v>
      </c>
      <c r="PU9" s="261">
        <v>74075.392000000007</v>
      </c>
      <c r="PV9" s="261">
        <v>70444.73</v>
      </c>
      <c r="PW9" s="262">
        <v>5.1539157010041699E-2</v>
      </c>
      <c r="PX9" s="261">
        <v>421077.61</v>
      </c>
      <c r="PY9" s="261">
        <v>409566.50699999998</v>
      </c>
      <c r="PZ9" s="262">
        <v>2.8105577002174201E-2</v>
      </c>
      <c r="QA9" s="261">
        <v>29612.994999999999</v>
      </c>
      <c r="QB9" s="261">
        <v>28510.366000000002</v>
      </c>
      <c r="QC9" s="262">
        <v>3.8674670118229899E-2</v>
      </c>
      <c r="QD9" s="261">
        <v>84041.312000000005</v>
      </c>
      <c r="QE9" s="261">
        <v>87824.501000000004</v>
      </c>
      <c r="QF9" s="262">
        <v>-4.3076692231931897E-2</v>
      </c>
      <c r="QG9" s="261">
        <v>265618.18199999997</v>
      </c>
      <c r="QH9" s="261">
        <v>266742.60200000001</v>
      </c>
      <c r="QI9" s="263">
        <v>-4.2153746404559799E-3</v>
      </c>
      <c r="QJ9" s="261">
        <v>0</v>
      </c>
      <c r="QK9" s="261">
        <v>0</v>
      </c>
      <c r="QL9" s="262">
        <v>0</v>
      </c>
      <c r="QM9" s="261">
        <v>0</v>
      </c>
      <c r="QN9" s="261">
        <v>0</v>
      </c>
      <c r="QO9" s="262">
        <v>0</v>
      </c>
      <c r="QP9" s="261">
        <v>0</v>
      </c>
      <c r="QQ9" s="261">
        <v>0</v>
      </c>
      <c r="QR9" s="262">
        <v>0</v>
      </c>
      <c r="QS9" s="261">
        <v>3.7610000000000001</v>
      </c>
      <c r="QT9" s="261">
        <v>1.296</v>
      </c>
      <c r="QU9" s="262">
        <v>1.9020061728395099</v>
      </c>
      <c r="QV9" s="261">
        <v>32.563000000000002</v>
      </c>
      <c r="QW9" s="261">
        <v>16.891999999999999</v>
      </c>
      <c r="QX9" s="262">
        <v>0.92771726260952003</v>
      </c>
      <c r="QY9" s="261">
        <v>199.072</v>
      </c>
      <c r="QZ9" s="261">
        <v>546.22400000000005</v>
      </c>
      <c r="RA9" s="262">
        <v>-0.63554878584609997</v>
      </c>
      <c r="RB9" s="261">
        <v>3.8170000000000002</v>
      </c>
      <c r="RC9" s="261">
        <v>2.8940000000000001</v>
      </c>
      <c r="RD9" s="262">
        <v>0.31893572909467899</v>
      </c>
      <c r="RE9" s="261">
        <v>52.110999999999997</v>
      </c>
      <c r="RF9" s="261">
        <v>14.641999999999999</v>
      </c>
      <c r="RG9" s="262">
        <v>2.5590083321950599</v>
      </c>
      <c r="RH9" s="261">
        <v>139.352</v>
      </c>
      <c r="RI9" s="261">
        <v>258.01799999999997</v>
      </c>
      <c r="RJ9" s="262">
        <v>-0.45991364943531099</v>
      </c>
      <c r="RK9" s="261">
        <v>22619.537</v>
      </c>
      <c r="RL9" s="261">
        <v>25040.585999999999</v>
      </c>
      <c r="RM9" s="262">
        <v>-9.6684997707322098E-2</v>
      </c>
      <c r="RN9" s="261">
        <v>96694.929000000004</v>
      </c>
      <c r="RO9" s="261">
        <v>95485.316000000006</v>
      </c>
      <c r="RP9" s="262">
        <v>1.2668052541188799E-2</v>
      </c>
      <c r="RQ9" s="261">
        <v>418656.56099999999</v>
      </c>
      <c r="RR9" s="261">
        <v>404777.40899999999</v>
      </c>
      <c r="RS9" s="262">
        <v>3.4288356245691397E-2</v>
      </c>
      <c r="RT9" s="261">
        <v>34690.565999999999</v>
      </c>
      <c r="RU9" s="261">
        <v>15002.691000000001</v>
      </c>
      <c r="RV9" s="262">
        <v>1.3122895752502</v>
      </c>
      <c r="RW9" s="261">
        <v>118731.878</v>
      </c>
      <c r="RX9" s="261">
        <v>102827.192</v>
      </c>
      <c r="RY9" s="262">
        <v>0.15467393099677401</v>
      </c>
      <c r="RZ9" s="261">
        <v>285306.05699999997</v>
      </c>
      <c r="SA9" s="261">
        <v>266478.44099999999</v>
      </c>
      <c r="SB9" s="263">
        <v>7.0653430458939001E-2</v>
      </c>
      <c r="SC9" s="261">
        <v>0</v>
      </c>
      <c r="SD9" s="261">
        <v>0</v>
      </c>
      <c r="SE9" s="262">
        <v>0</v>
      </c>
      <c r="SF9" s="261">
        <v>0</v>
      </c>
      <c r="SG9" s="261">
        <v>0</v>
      </c>
      <c r="SH9" s="262">
        <v>0</v>
      </c>
      <c r="SI9" s="261">
        <v>0</v>
      </c>
      <c r="SJ9" s="261">
        <v>0</v>
      </c>
      <c r="SK9" s="262">
        <v>0</v>
      </c>
      <c r="SL9" s="261">
        <v>84.733999999999995</v>
      </c>
      <c r="SM9" s="261">
        <v>11.112</v>
      </c>
      <c r="SN9" s="262">
        <v>6.6254499640028799</v>
      </c>
      <c r="SO9" s="261">
        <v>117.297</v>
      </c>
      <c r="SP9" s="261">
        <v>28.004000000000001</v>
      </c>
      <c r="SQ9" s="262">
        <v>3.1885802028281698</v>
      </c>
      <c r="SR9" s="261">
        <v>272.69400000000002</v>
      </c>
      <c r="SS9" s="261">
        <v>551.38599999999997</v>
      </c>
      <c r="ST9" s="262">
        <v>-0.50543902093995896</v>
      </c>
      <c r="SU9" s="261">
        <v>2.0129999999999999</v>
      </c>
      <c r="SV9" s="261">
        <v>2.637</v>
      </c>
      <c r="SW9" s="262">
        <v>-0.23663253697383399</v>
      </c>
      <c r="SX9" s="261">
        <v>54.124000000000002</v>
      </c>
      <c r="SY9" s="261">
        <v>17.279</v>
      </c>
      <c r="SZ9" s="262">
        <v>2.13235719659703</v>
      </c>
      <c r="TA9" s="261">
        <v>138.72800000000001</v>
      </c>
      <c r="TB9" s="261">
        <v>191.286</v>
      </c>
      <c r="TC9" s="262">
        <v>-0.27476135211149799</v>
      </c>
      <c r="TD9" s="261">
        <v>36469.514999999999</v>
      </c>
      <c r="TE9" s="261">
        <v>25468.106</v>
      </c>
      <c r="TF9" s="262">
        <v>0.43196808588750202</v>
      </c>
      <c r="TG9" s="261">
        <v>133164.44399999999</v>
      </c>
      <c r="TH9" s="261">
        <v>120953.42200000001</v>
      </c>
      <c r="TI9" s="262">
        <v>0.100956399563462</v>
      </c>
      <c r="TJ9" s="261">
        <v>429657.97</v>
      </c>
      <c r="TK9" s="261">
        <v>400516.90100000001</v>
      </c>
      <c r="TL9" s="262">
        <v>7.2758649952701898E-2</v>
      </c>
      <c r="TM9" s="261">
        <v>21324.907999999999</v>
      </c>
      <c r="TN9" s="261">
        <v>15518.790999999999</v>
      </c>
      <c r="TO9" s="262">
        <v>0.37413462169830097</v>
      </c>
      <c r="TP9" s="261">
        <v>140056.78599999999</v>
      </c>
      <c r="TQ9" s="261">
        <v>118345.98299999999</v>
      </c>
      <c r="TR9" s="262">
        <v>0.18345196389133001</v>
      </c>
      <c r="TS9" s="261">
        <v>291112.174</v>
      </c>
      <c r="TT9" s="261">
        <v>268574.53399999999</v>
      </c>
      <c r="TU9" s="263">
        <v>8.3915774382391797E-2</v>
      </c>
      <c r="TV9" s="261">
        <v>0</v>
      </c>
      <c r="TW9" s="261">
        <v>0</v>
      </c>
      <c r="TX9" s="262">
        <v>0</v>
      </c>
      <c r="TY9" s="261">
        <v>0</v>
      </c>
      <c r="TZ9" s="261">
        <v>0</v>
      </c>
      <c r="UA9" s="262">
        <v>0</v>
      </c>
      <c r="UB9" s="261">
        <v>0</v>
      </c>
      <c r="UC9" s="261">
        <v>0</v>
      </c>
      <c r="UD9" s="262">
        <v>0</v>
      </c>
      <c r="UE9" s="261">
        <v>24.53</v>
      </c>
      <c r="UF9" s="261">
        <v>9.1240000000000006</v>
      </c>
      <c r="UG9" s="262">
        <v>1.68851380973257</v>
      </c>
      <c r="UH9" s="261">
        <v>141.827</v>
      </c>
      <c r="UI9" s="261">
        <v>37.128</v>
      </c>
      <c r="UJ9" s="262">
        <v>2.81994720965309</v>
      </c>
      <c r="UK9" s="261">
        <v>288.10000000000002</v>
      </c>
      <c r="UL9" s="261">
        <v>373.85</v>
      </c>
      <c r="UM9" s="262">
        <v>-0.22937006820917499</v>
      </c>
      <c r="UN9" s="261">
        <v>5.15</v>
      </c>
      <c r="UO9" s="261">
        <v>5.3070000000000004</v>
      </c>
      <c r="UP9" s="262">
        <v>-2.9583568871302101E-2</v>
      </c>
      <c r="UQ9" s="261">
        <v>59.274000000000001</v>
      </c>
      <c r="UR9" s="261">
        <v>22.585999999999999</v>
      </c>
      <c r="US9" s="262">
        <v>1.62436907819003</v>
      </c>
      <c r="UT9" s="261">
        <v>138.571</v>
      </c>
      <c r="UU9" s="261">
        <v>55.539000000000001</v>
      </c>
      <c r="UV9" s="262">
        <v>1.4950215164118901</v>
      </c>
      <c r="UW9" s="261">
        <v>48031.368999999999</v>
      </c>
      <c r="UX9" s="261">
        <v>46078.491000000002</v>
      </c>
      <c r="UY9" s="262">
        <v>4.2381552816041598E-2</v>
      </c>
      <c r="UZ9" s="261">
        <v>181195.81299999999</v>
      </c>
      <c r="VA9" s="261">
        <v>167031.913</v>
      </c>
      <c r="VB9" s="262">
        <v>8.4797567995284998E-2</v>
      </c>
      <c r="VC9" s="261">
        <v>431610.848</v>
      </c>
      <c r="VD9" s="261">
        <v>402927.462</v>
      </c>
      <c r="VE9" s="262">
        <v>7.1187468477886998E-2</v>
      </c>
      <c r="VF9" s="261">
        <v>18374.575000000001</v>
      </c>
      <c r="VG9" s="261">
        <v>14439.682000000001</v>
      </c>
      <c r="VH9" s="262">
        <v>0.27250551639572101</v>
      </c>
      <c r="VI9" s="261">
        <v>158431.361</v>
      </c>
      <c r="VJ9" s="261">
        <v>132785.66500000001</v>
      </c>
      <c r="VK9" s="262">
        <v>0.193136028651888</v>
      </c>
      <c r="VL9" s="261">
        <v>295047.06699999998</v>
      </c>
      <c r="VM9" s="261">
        <v>256200.03899999999</v>
      </c>
      <c r="VN9" s="263">
        <v>0.15162772086853599</v>
      </c>
    </row>
    <row r="10" spans="1:586">
      <c r="A10" s="267" t="s">
        <v>135</v>
      </c>
      <c r="B10" s="261">
        <v>0</v>
      </c>
      <c r="C10" s="261">
        <v>0</v>
      </c>
      <c r="D10" s="262">
        <v>0</v>
      </c>
      <c r="E10" s="261">
        <v>0</v>
      </c>
      <c r="F10" s="261">
        <v>0</v>
      </c>
      <c r="G10" s="262">
        <v>0</v>
      </c>
      <c r="H10" s="261">
        <v>0</v>
      </c>
      <c r="I10" s="261">
        <v>0</v>
      </c>
      <c r="J10" s="262">
        <v>0</v>
      </c>
      <c r="K10" s="261">
        <v>0</v>
      </c>
      <c r="L10" s="261">
        <v>0</v>
      </c>
      <c r="M10" s="262">
        <v>0</v>
      </c>
      <c r="N10" s="261">
        <v>0</v>
      </c>
      <c r="O10" s="261">
        <v>0</v>
      </c>
      <c r="P10" s="262">
        <v>0</v>
      </c>
      <c r="Q10" s="261">
        <v>0</v>
      </c>
      <c r="R10" s="261">
        <v>0</v>
      </c>
      <c r="S10" s="262">
        <v>0</v>
      </c>
      <c r="T10" s="261">
        <v>0</v>
      </c>
      <c r="U10" s="261">
        <v>0</v>
      </c>
      <c r="V10" s="262">
        <v>0</v>
      </c>
      <c r="W10" s="261">
        <v>0</v>
      </c>
      <c r="X10" s="261">
        <v>0</v>
      </c>
      <c r="Y10" s="262">
        <v>0</v>
      </c>
      <c r="Z10" s="261">
        <v>0</v>
      </c>
      <c r="AA10" s="261">
        <v>0</v>
      </c>
      <c r="AB10" s="262">
        <v>0</v>
      </c>
      <c r="AC10" s="261">
        <v>0</v>
      </c>
      <c r="AD10" s="261">
        <v>0</v>
      </c>
      <c r="AE10" s="262">
        <v>0</v>
      </c>
      <c r="AF10" s="261">
        <v>0</v>
      </c>
      <c r="AG10" s="261">
        <v>0</v>
      </c>
      <c r="AH10" s="262">
        <v>0</v>
      </c>
      <c r="AI10" s="261">
        <v>0</v>
      </c>
      <c r="AJ10" s="261">
        <v>0</v>
      </c>
      <c r="AK10" s="262">
        <v>0</v>
      </c>
      <c r="AL10" s="261">
        <v>84304.407999999996</v>
      </c>
      <c r="AM10" s="261">
        <v>82237.212</v>
      </c>
      <c r="AN10" s="262">
        <v>2.5136990295828599E-2</v>
      </c>
      <c r="AO10" s="261">
        <v>584976.93200000003</v>
      </c>
      <c r="AP10" s="261">
        <v>636815.56000000006</v>
      </c>
      <c r="AQ10" s="262">
        <v>-8.1402891600199007E-2</v>
      </c>
      <c r="AR10" s="261">
        <v>1127520.4099999999</v>
      </c>
      <c r="AS10" s="261">
        <v>1273735.9010000001</v>
      </c>
      <c r="AT10" s="263">
        <v>-0.114792627643774</v>
      </c>
      <c r="AU10" s="261">
        <v>108616.974</v>
      </c>
      <c r="AV10" s="261">
        <v>0</v>
      </c>
      <c r="AW10" s="262">
        <v>0</v>
      </c>
      <c r="AX10" s="261">
        <v>108616.974</v>
      </c>
      <c r="AY10" s="261">
        <v>0</v>
      </c>
      <c r="AZ10" s="262">
        <v>0</v>
      </c>
      <c r="BA10" s="261">
        <v>108616.974</v>
      </c>
      <c r="BB10" s="261">
        <v>0</v>
      </c>
      <c r="BC10" s="262">
        <v>0</v>
      </c>
      <c r="BD10" s="261">
        <v>0</v>
      </c>
      <c r="BE10" s="261">
        <v>0</v>
      </c>
      <c r="BF10" s="262">
        <v>0</v>
      </c>
      <c r="BG10" s="261">
        <v>0</v>
      </c>
      <c r="BH10" s="261">
        <v>0</v>
      </c>
      <c r="BI10" s="262">
        <v>0</v>
      </c>
      <c r="BJ10" s="261">
        <v>0</v>
      </c>
      <c r="BK10" s="261">
        <v>0</v>
      </c>
      <c r="BL10" s="262">
        <v>0</v>
      </c>
      <c r="BM10" s="261">
        <v>0</v>
      </c>
      <c r="BN10" s="261">
        <v>0</v>
      </c>
      <c r="BO10" s="262">
        <v>0</v>
      </c>
      <c r="BP10" s="261">
        <v>0</v>
      </c>
      <c r="BQ10" s="261">
        <v>0</v>
      </c>
      <c r="BR10" s="262">
        <v>0</v>
      </c>
      <c r="BS10" s="261">
        <v>0</v>
      </c>
      <c r="BT10" s="261">
        <v>0</v>
      </c>
      <c r="BU10" s="262">
        <v>0</v>
      </c>
      <c r="BV10" s="261">
        <v>0</v>
      </c>
      <c r="BW10" s="261">
        <v>0</v>
      </c>
      <c r="BX10" s="262">
        <v>0</v>
      </c>
      <c r="BY10" s="261">
        <v>0</v>
      </c>
      <c r="BZ10" s="261">
        <v>0</v>
      </c>
      <c r="CA10" s="262">
        <v>0</v>
      </c>
      <c r="CB10" s="261">
        <v>0</v>
      </c>
      <c r="CC10" s="261">
        <v>0</v>
      </c>
      <c r="CD10" s="262">
        <v>0</v>
      </c>
      <c r="CE10" s="261">
        <v>97398.498000000007</v>
      </c>
      <c r="CF10" s="261">
        <v>108818.31600000001</v>
      </c>
      <c r="CG10" s="262">
        <v>-0.104943895658154</v>
      </c>
      <c r="CH10" s="261">
        <v>682375.43</v>
      </c>
      <c r="CI10" s="261">
        <v>745633.87600000005</v>
      </c>
      <c r="CJ10" s="262">
        <v>-8.4838481775203006E-2</v>
      </c>
      <c r="CK10" s="261">
        <v>1116100.5919999999</v>
      </c>
      <c r="CL10" s="261">
        <v>1278657.0430000001</v>
      </c>
      <c r="CM10" s="263">
        <v>-0.127130610893605</v>
      </c>
      <c r="CN10" s="261">
        <v>164265.69699999999</v>
      </c>
      <c r="CO10" s="261">
        <v>0</v>
      </c>
      <c r="CP10" s="262">
        <v>0</v>
      </c>
      <c r="CQ10" s="261">
        <v>272882.67099999997</v>
      </c>
      <c r="CR10" s="261">
        <v>0</v>
      </c>
      <c r="CS10" s="262">
        <v>0</v>
      </c>
      <c r="CT10" s="261">
        <v>272882.67099999997</v>
      </c>
      <c r="CU10" s="261">
        <v>0</v>
      </c>
      <c r="CV10" s="262">
        <v>0</v>
      </c>
      <c r="CW10" s="261">
        <v>0</v>
      </c>
      <c r="CX10" s="261">
        <v>0</v>
      </c>
      <c r="CY10" s="262">
        <v>0</v>
      </c>
      <c r="CZ10" s="261">
        <v>0</v>
      </c>
      <c r="DA10" s="261">
        <v>0</v>
      </c>
      <c r="DB10" s="262">
        <v>0</v>
      </c>
      <c r="DC10" s="261">
        <v>0</v>
      </c>
      <c r="DD10" s="261">
        <v>0</v>
      </c>
      <c r="DE10" s="262">
        <v>0</v>
      </c>
      <c r="DF10" s="261">
        <v>0</v>
      </c>
      <c r="DG10" s="261">
        <v>0</v>
      </c>
      <c r="DH10" s="262">
        <v>0</v>
      </c>
      <c r="DI10" s="261">
        <v>0</v>
      </c>
      <c r="DJ10" s="261">
        <v>0</v>
      </c>
      <c r="DK10" s="262">
        <v>0</v>
      </c>
      <c r="DL10" s="261">
        <v>0</v>
      </c>
      <c r="DM10" s="261">
        <v>0</v>
      </c>
      <c r="DN10" s="262">
        <v>0</v>
      </c>
      <c r="DO10" s="261">
        <v>0</v>
      </c>
      <c r="DP10" s="261">
        <v>0</v>
      </c>
      <c r="DQ10" s="262">
        <v>0</v>
      </c>
      <c r="DR10" s="261">
        <v>0</v>
      </c>
      <c r="DS10" s="261">
        <v>0</v>
      </c>
      <c r="DT10" s="262">
        <v>0</v>
      </c>
      <c r="DU10" s="261">
        <v>0</v>
      </c>
      <c r="DV10" s="261">
        <v>0</v>
      </c>
      <c r="DW10" s="262">
        <v>0</v>
      </c>
      <c r="DX10" s="261">
        <v>100210.77</v>
      </c>
      <c r="DY10" s="261">
        <v>104478.976</v>
      </c>
      <c r="DZ10" s="262">
        <v>-4.08522954895729E-2</v>
      </c>
      <c r="EA10" s="261">
        <v>782586.2</v>
      </c>
      <c r="EB10" s="261">
        <v>850112.85199999996</v>
      </c>
      <c r="EC10" s="262">
        <v>-7.9432573970779102E-2</v>
      </c>
      <c r="ED10" s="261">
        <v>1111832.3859999999</v>
      </c>
      <c r="EE10" s="261">
        <v>1274881.963</v>
      </c>
      <c r="EF10" s="263">
        <v>-0.12789386133938099</v>
      </c>
      <c r="EG10" s="261">
        <v>185059.53700000001</v>
      </c>
      <c r="EH10" s="261">
        <v>0</v>
      </c>
      <c r="EI10" s="262">
        <v>0</v>
      </c>
      <c r="EJ10" s="261">
        <v>457942.20799999998</v>
      </c>
      <c r="EK10" s="261">
        <v>0</v>
      </c>
      <c r="EL10" s="262">
        <v>0</v>
      </c>
      <c r="EM10" s="261">
        <v>457942.20799999998</v>
      </c>
      <c r="EN10" s="261">
        <v>0</v>
      </c>
      <c r="EO10" s="262">
        <v>0</v>
      </c>
      <c r="EP10" s="261">
        <v>0</v>
      </c>
      <c r="EQ10" s="261">
        <v>0</v>
      </c>
      <c r="ER10" s="262">
        <v>0</v>
      </c>
      <c r="ES10" s="261">
        <v>0</v>
      </c>
      <c r="ET10" s="261">
        <v>0</v>
      </c>
      <c r="EU10" s="262">
        <v>0</v>
      </c>
      <c r="EV10" s="261">
        <v>0</v>
      </c>
      <c r="EW10" s="261">
        <v>0</v>
      </c>
      <c r="EX10" s="262">
        <v>0</v>
      </c>
      <c r="EY10" s="261">
        <v>0</v>
      </c>
      <c r="EZ10" s="261">
        <v>0</v>
      </c>
      <c r="FA10" s="262">
        <v>0</v>
      </c>
      <c r="FB10" s="261">
        <v>0</v>
      </c>
      <c r="FC10" s="261">
        <v>0</v>
      </c>
      <c r="FD10" s="262">
        <v>0</v>
      </c>
      <c r="FE10" s="261">
        <v>0</v>
      </c>
      <c r="FF10" s="261">
        <v>0</v>
      </c>
      <c r="FG10" s="262">
        <v>0</v>
      </c>
      <c r="FH10" s="261">
        <v>0</v>
      </c>
      <c r="FI10" s="261">
        <v>0</v>
      </c>
      <c r="FJ10" s="262">
        <v>0</v>
      </c>
      <c r="FK10" s="261">
        <v>0</v>
      </c>
      <c r="FL10" s="261">
        <v>0</v>
      </c>
      <c r="FM10" s="262">
        <v>0</v>
      </c>
      <c r="FN10" s="261">
        <v>0</v>
      </c>
      <c r="FO10" s="261">
        <v>0</v>
      </c>
      <c r="FP10" s="262">
        <v>0</v>
      </c>
      <c r="FQ10" s="261">
        <v>99346.721000000005</v>
      </c>
      <c r="FR10" s="261">
        <v>76899.138000000006</v>
      </c>
      <c r="FS10" s="262">
        <v>0.291909422963883</v>
      </c>
      <c r="FT10" s="261">
        <v>881932.92099999997</v>
      </c>
      <c r="FU10" s="261">
        <v>927011.99</v>
      </c>
      <c r="FV10" s="262">
        <v>-4.8628355928816001E-2</v>
      </c>
      <c r="FW10" s="261">
        <v>1134279.969</v>
      </c>
      <c r="FX10" s="261">
        <v>1243457.9469999999</v>
      </c>
      <c r="FY10" s="263">
        <v>-8.7801906178978997E-2</v>
      </c>
      <c r="FZ10" s="261">
        <v>209152.976</v>
      </c>
      <c r="GA10" s="261">
        <v>0</v>
      </c>
      <c r="GB10" s="262">
        <v>0</v>
      </c>
      <c r="GC10" s="261">
        <v>667095.18400000001</v>
      </c>
      <c r="GD10" s="261">
        <v>0</v>
      </c>
      <c r="GE10" s="262">
        <v>0</v>
      </c>
      <c r="GF10" s="261">
        <v>667095.18400000001</v>
      </c>
      <c r="GG10" s="261">
        <v>0</v>
      </c>
      <c r="GH10" s="262">
        <v>0</v>
      </c>
      <c r="GI10" s="261">
        <v>0</v>
      </c>
      <c r="GJ10" s="261">
        <v>0</v>
      </c>
      <c r="GK10" s="262">
        <v>0</v>
      </c>
      <c r="GL10" s="261">
        <v>0</v>
      </c>
      <c r="GM10" s="261">
        <v>0</v>
      </c>
      <c r="GN10" s="262">
        <v>0</v>
      </c>
      <c r="GO10" s="261">
        <v>0</v>
      </c>
      <c r="GP10" s="261">
        <v>0</v>
      </c>
      <c r="GQ10" s="262">
        <v>0</v>
      </c>
      <c r="GR10" s="261">
        <v>0</v>
      </c>
      <c r="GS10" s="261">
        <v>0</v>
      </c>
      <c r="GT10" s="262">
        <v>0</v>
      </c>
      <c r="GU10" s="261">
        <v>0</v>
      </c>
      <c r="GV10" s="261">
        <v>0</v>
      </c>
      <c r="GW10" s="262">
        <v>0</v>
      </c>
      <c r="GX10" s="261">
        <v>0</v>
      </c>
      <c r="GY10" s="261">
        <v>0</v>
      </c>
      <c r="GZ10" s="262">
        <v>0</v>
      </c>
      <c r="HA10" s="261">
        <v>0</v>
      </c>
      <c r="HB10" s="261">
        <v>0</v>
      </c>
      <c r="HC10" s="262">
        <v>0</v>
      </c>
      <c r="HD10" s="261">
        <v>0</v>
      </c>
      <c r="HE10" s="261">
        <v>0</v>
      </c>
      <c r="HF10" s="262">
        <v>0</v>
      </c>
      <c r="HG10" s="261">
        <v>0</v>
      </c>
      <c r="HH10" s="261">
        <v>0</v>
      </c>
      <c r="HI10" s="262">
        <v>0</v>
      </c>
      <c r="HJ10" s="261">
        <v>125067.28200000001</v>
      </c>
      <c r="HK10" s="261">
        <v>89300.012000000002</v>
      </c>
      <c r="HL10" s="262">
        <v>0.400529285483187</v>
      </c>
      <c r="HM10" s="261">
        <v>1007000.203</v>
      </c>
      <c r="HN10" s="261">
        <v>1016312.002</v>
      </c>
      <c r="HO10" s="262">
        <v>-9.1623428451846605E-3</v>
      </c>
      <c r="HP10" s="261">
        <v>1170047.2390000001</v>
      </c>
      <c r="HQ10" s="261">
        <v>1209942.2860000001</v>
      </c>
      <c r="HR10" s="263">
        <v>-3.29726859385093E-2</v>
      </c>
      <c r="HS10" s="261">
        <v>214492.52799999999</v>
      </c>
      <c r="HT10" s="261">
        <v>0</v>
      </c>
      <c r="HU10" s="262">
        <v>0</v>
      </c>
      <c r="HV10" s="261">
        <v>881587.71200000006</v>
      </c>
      <c r="HW10" s="261">
        <v>0</v>
      </c>
      <c r="HX10" s="262">
        <v>0</v>
      </c>
      <c r="HY10" s="261">
        <v>881587.71200000006</v>
      </c>
      <c r="HZ10" s="261">
        <v>0</v>
      </c>
      <c r="IA10" s="262">
        <v>0</v>
      </c>
      <c r="IB10" s="261">
        <v>0</v>
      </c>
      <c r="IC10" s="261">
        <v>0</v>
      </c>
      <c r="ID10" s="262">
        <v>0</v>
      </c>
      <c r="IE10" s="261">
        <v>0</v>
      </c>
      <c r="IF10" s="261">
        <v>0</v>
      </c>
      <c r="IG10" s="262">
        <v>0</v>
      </c>
      <c r="IH10" s="261">
        <v>0</v>
      </c>
      <c r="II10" s="261">
        <v>0</v>
      </c>
      <c r="IJ10" s="262">
        <v>0</v>
      </c>
      <c r="IK10" s="261">
        <v>0</v>
      </c>
      <c r="IL10" s="261">
        <v>0</v>
      </c>
      <c r="IM10" s="262">
        <v>0</v>
      </c>
      <c r="IN10" s="261">
        <v>0</v>
      </c>
      <c r="IO10" s="261">
        <v>0</v>
      </c>
      <c r="IP10" s="262">
        <v>0</v>
      </c>
      <c r="IQ10" s="261">
        <v>0</v>
      </c>
      <c r="IR10" s="261">
        <v>0</v>
      </c>
      <c r="IS10" s="262">
        <v>0</v>
      </c>
      <c r="IT10" s="261">
        <v>0</v>
      </c>
      <c r="IU10" s="261">
        <v>0</v>
      </c>
      <c r="IV10" s="262">
        <v>0</v>
      </c>
      <c r="IW10" s="261">
        <v>0</v>
      </c>
      <c r="IX10" s="261">
        <v>0</v>
      </c>
      <c r="IY10" s="262">
        <v>0</v>
      </c>
      <c r="IZ10" s="261">
        <v>0</v>
      </c>
      <c r="JA10" s="261">
        <v>0</v>
      </c>
      <c r="JB10" s="262">
        <v>0</v>
      </c>
      <c r="JC10" s="261">
        <v>112305.73</v>
      </c>
      <c r="JD10" s="261">
        <v>91813.716</v>
      </c>
      <c r="JE10" s="262">
        <v>0.22319120598495301</v>
      </c>
      <c r="JF10" s="261">
        <v>1119305.933</v>
      </c>
      <c r="JG10" s="261">
        <v>1108125.7180000001</v>
      </c>
      <c r="JH10" s="262">
        <v>1.0089301979362499E-2</v>
      </c>
      <c r="JI10" s="261">
        <v>1190539.253</v>
      </c>
      <c r="JJ10" s="261">
        <v>1207668.2560000001</v>
      </c>
      <c r="JK10" s="263">
        <v>-1.41835333626588E-2</v>
      </c>
      <c r="JL10" s="261">
        <v>241550.75200000001</v>
      </c>
      <c r="JM10" s="261">
        <v>0</v>
      </c>
      <c r="JN10" s="262">
        <v>0</v>
      </c>
      <c r="JO10" s="261">
        <v>1123138.4639999999</v>
      </c>
      <c r="JP10" s="261">
        <v>0</v>
      </c>
      <c r="JQ10" s="262">
        <v>0</v>
      </c>
      <c r="JR10" s="261">
        <v>1123138.4639999999</v>
      </c>
      <c r="JS10" s="261">
        <v>0</v>
      </c>
      <c r="JT10" s="262">
        <v>0</v>
      </c>
      <c r="JU10" s="261">
        <v>0</v>
      </c>
      <c r="JV10" s="261">
        <v>0</v>
      </c>
      <c r="JW10" s="262">
        <v>0</v>
      </c>
      <c r="JX10" s="261">
        <v>0</v>
      </c>
      <c r="JY10" s="261">
        <v>0</v>
      </c>
      <c r="JZ10" s="262">
        <v>0</v>
      </c>
      <c r="KA10" s="261">
        <v>0</v>
      </c>
      <c r="KB10" s="261">
        <v>0</v>
      </c>
      <c r="KC10" s="262">
        <v>0</v>
      </c>
      <c r="KD10" s="261">
        <v>0</v>
      </c>
      <c r="KE10" s="261">
        <v>0</v>
      </c>
      <c r="KF10" s="262">
        <v>0</v>
      </c>
      <c r="KG10" s="261">
        <v>0</v>
      </c>
      <c r="KH10" s="261">
        <v>0</v>
      </c>
      <c r="KI10" s="262">
        <v>0</v>
      </c>
      <c r="KJ10" s="261">
        <v>0</v>
      </c>
      <c r="KK10" s="261">
        <v>0</v>
      </c>
      <c r="KL10" s="262">
        <v>0</v>
      </c>
      <c r="KM10" s="261">
        <v>0</v>
      </c>
      <c r="KN10" s="261">
        <v>0</v>
      </c>
      <c r="KO10" s="262">
        <v>0</v>
      </c>
      <c r="KP10" s="261">
        <v>0</v>
      </c>
      <c r="KQ10" s="261">
        <v>0</v>
      </c>
      <c r="KR10" s="262">
        <v>0</v>
      </c>
      <c r="KS10" s="261">
        <v>0</v>
      </c>
      <c r="KT10" s="261">
        <v>0</v>
      </c>
      <c r="KU10" s="262">
        <v>0</v>
      </c>
      <c r="KV10" s="261">
        <v>119831.412</v>
      </c>
      <c r="KW10" s="261">
        <v>71233.320000000007</v>
      </c>
      <c r="KX10" s="262">
        <v>0.68223819976381805</v>
      </c>
      <c r="KY10" s="261">
        <v>1239137.345</v>
      </c>
      <c r="KZ10" s="261">
        <v>1179359.0379999999</v>
      </c>
      <c r="LA10" s="262">
        <v>5.0687114842799898E-2</v>
      </c>
      <c r="LB10" s="261">
        <v>1239137.345</v>
      </c>
      <c r="LC10" s="261">
        <v>1179359.0379999999</v>
      </c>
      <c r="LD10" s="263">
        <v>5.0687114842799898E-2</v>
      </c>
      <c r="LE10" s="261">
        <v>186633.29300000001</v>
      </c>
      <c r="LF10" s="261">
        <v>0</v>
      </c>
      <c r="LG10" s="262">
        <v>0</v>
      </c>
      <c r="LH10" s="261">
        <v>186633.29300000001</v>
      </c>
      <c r="LI10" s="261">
        <v>0</v>
      </c>
      <c r="LJ10" s="262">
        <v>0</v>
      </c>
      <c r="LK10" s="261">
        <v>1309771.757</v>
      </c>
      <c r="LL10" s="261">
        <v>0</v>
      </c>
      <c r="LM10" s="262">
        <v>0</v>
      </c>
      <c r="LN10" s="261">
        <v>0</v>
      </c>
      <c r="LO10" s="261">
        <v>0</v>
      </c>
      <c r="LP10" s="262">
        <v>0</v>
      </c>
      <c r="LQ10" s="261">
        <v>0</v>
      </c>
      <c r="LR10" s="261">
        <v>0</v>
      </c>
      <c r="LS10" s="262">
        <v>0</v>
      </c>
      <c r="LT10" s="261">
        <v>0</v>
      </c>
      <c r="LU10" s="261">
        <v>0</v>
      </c>
      <c r="LV10" s="262">
        <v>0</v>
      </c>
      <c r="LW10" s="261">
        <v>0</v>
      </c>
      <c r="LX10" s="261">
        <v>0</v>
      </c>
      <c r="LY10" s="262">
        <v>0</v>
      </c>
      <c r="LZ10" s="261">
        <v>0</v>
      </c>
      <c r="MA10" s="261">
        <v>0</v>
      </c>
      <c r="MB10" s="262">
        <v>0</v>
      </c>
      <c r="MC10" s="261">
        <v>0</v>
      </c>
      <c r="MD10" s="261">
        <v>0</v>
      </c>
      <c r="ME10" s="262">
        <v>0</v>
      </c>
      <c r="MF10" s="261">
        <v>0</v>
      </c>
      <c r="MG10" s="261">
        <v>0</v>
      </c>
      <c r="MH10" s="262">
        <v>0</v>
      </c>
      <c r="MI10" s="261">
        <v>0</v>
      </c>
      <c r="MJ10" s="261">
        <v>0</v>
      </c>
      <c r="MK10" s="262">
        <v>0</v>
      </c>
      <c r="ML10" s="261">
        <v>0</v>
      </c>
      <c r="MM10" s="261">
        <v>0</v>
      </c>
      <c r="MN10" s="262">
        <v>0</v>
      </c>
      <c r="MO10" s="261">
        <v>117609.372</v>
      </c>
      <c r="MP10" s="261">
        <v>82867.551999999996</v>
      </c>
      <c r="MQ10" s="262">
        <v>0.41924515882887398</v>
      </c>
      <c r="MR10" s="261">
        <v>117609.372</v>
      </c>
      <c r="MS10" s="261">
        <v>82867.551999999996</v>
      </c>
      <c r="MT10" s="262">
        <v>0.41924515882887398</v>
      </c>
      <c r="MU10" s="261">
        <v>1273879.165</v>
      </c>
      <c r="MV10" s="261">
        <v>1140467.8540000001</v>
      </c>
      <c r="MW10" s="263">
        <v>0.11697945762529099</v>
      </c>
      <c r="MX10" s="261">
        <v>209253.64</v>
      </c>
      <c r="MY10" s="261">
        <v>0</v>
      </c>
      <c r="MZ10" s="262">
        <v>0</v>
      </c>
      <c r="NA10" s="261">
        <v>395886.93300000002</v>
      </c>
      <c r="NB10" s="261">
        <v>0</v>
      </c>
      <c r="NC10" s="262">
        <v>0</v>
      </c>
      <c r="ND10" s="261">
        <v>1519025.3970000001</v>
      </c>
      <c r="NE10" s="261">
        <v>0</v>
      </c>
      <c r="NF10" s="262">
        <v>0</v>
      </c>
      <c r="NG10" s="261">
        <v>0</v>
      </c>
      <c r="NH10" s="261">
        <v>0</v>
      </c>
      <c r="NI10" s="262">
        <v>0</v>
      </c>
      <c r="NJ10" s="261">
        <v>0</v>
      </c>
      <c r="NK10" s="261">
        <v>0</v>
      </c>
      <c r="NL10" s="262">
        <v>0</v>
      </c>
      <c r="NM10" s="261">
        <v>0</v>
      </c>
      <c r="NN10" s="261">
        <v>0</v>
      </c>
      <c r="NO10" s="262">
        <v>0</v>
      </c>
      <c r="NP10" s="261">
        <v>0</v>
      </c>
      <c r="NQ10" s="261">
        <v>0</v>
      </c>
      <c r="NR10" s="262">
        <v>0</v>
      </c>
      <c r="NS10" s="261">
        <v>0</v>
      </c>
      <c r="NT10" s="261">
        <v>0</v>
      </c>
      <c r="NU10" s="262">
        <v>0</v>
      </c>
      <c r="NV10" s="261">
        <v>0</v>
      </c>
      <c r="NW10" s="261">
        <v>0</v>
      </c>
      <c r="NX10" s="262">
        <v>0</v>
      </c>
      <c r="NY10" s="261">
        <v>0</v>
      </c>
      <c r="NZ10" s="261">
        <v>0</v>
      </c>
      <c r="OA10" s="262">
        <v>0</v>
      </c>
      <c r="OB10" s="261">
        <v>0</v>
      </c>
      <c r="OC10" s="261">
        <v>0</v>
      </c>
      <c r="OD10" s="262">
        <v>0</v>
      </c>
      <c r="OE10" s="261">
        <v>0</v>
      </c>
      <c r="OF10" s="261">
        <v>0</v>
      </c>
      <c r="OG10" s="262">
        <v>0</v>
      </c>
      <c r="OH10" s="261">
        <v>92890.254000000001</v>
      </c>
      <c r="OI10" s="261">
        <v>111338.406</v>
      </c>
      <c r="OJ10" s="262">
        <v>-0.16569441455808201</v>
      </c>
      <c r="OK10" s="261">
        <v>210499.62599999999</v>
      </c>
      <c r="OL10" s="261">
        <v>194205.95800000001</v>
      </c>
      <c r="OM10" s="262">
        <v>8.3898909012873696E-2</v>
      </c>
      <c r="ON10" s="261">
        <v>1255431.013</v>
      </c>
      <c r="OO10" s="261">
        <v>1148760.344</v>
      </c>
      <c r="OP10" s="263">
        <v>9.2857199987049693E-2</v>
      </c>
      <c r="OQ10" s="261">
        <v>208618.66399999999</v>
      </c>
      <c r="OR10" s="261">
        <v>0</v>
      </c>
      <c r="OS10" s="262">
        <v>0</v>
      </c>
      <c r="OT10" s="261">
        <v>604505.59699999995</v>
      </c>
      <c r="OU10" s="261">
        <v>0</v>
      </c>
      <c r="OV10" s="262">
        <v>0</v>
      </c>
      <c r="OW10" s="261">
        <v>1727644.061</v>
      </c>
      <c r="OX10" s="261">
        <v>0</v>
      </c>
      <c r="OY10" s="262">
        <v>0</v>
      </c>
      <c r="OZ10" s="261">
        <v>0</v>
      </c>
      <c r="PA10" s="261">
        <v>0</v>
      </c>
      <c r="PB10" s="262">
        <v>0</v>
      </c>
      <c r="PC10" s="261">
        <v>0</v>
      </c>
      <c r="PD10" s="261">
        <v>0</v>
      </c>
      <c r="PE10" s="262">
        <v>0</v>
      </c>
      <c r="PF10" s="261">
        <v>0</v>
      </c>
      <c r="PG10" s="261">
        <v>0</v>
      </c>
      <c r="PH10" s="262">
        <v>0</v>
      </c>
      <c r="PI10" s="261">
        <v>0</v>
      </c>
      <c r="PJ10" s="261">
        <v>0</v>
      </c>
      <c r="PK10" s="262">
        <v>0</v>
      </c>
      <c r="PL10" s="261">
        <v>0</v>
      </c>
      <c r="PM10" s="261">
        <v>0</v>
      </c>
      <c r="PN10" s="262">
        <v>0</v>
      </c>
      <c r="PO10" s="261">
        <v>0</v>
      </c>
      <c r="PP10" s="261">
        <v>0</v>
      </c>
      <c r="PQ10" s="262">
        <v>0</v>
      </c>
      <c r="PR10" s="261">
        <v>0</v>
      </c>
      <c r="PS10" s="261">
        <v>0</v>
      </c>
      <c r="PT10" s="262">
        <v>0</v>
      </c>
      <c r="PU10" s="261">
        <v>0</v>
      </c>
      <c r="PV10" s="261">
        <v>0</v>
      </c>
      <c r="PW10" s="262">
        <v>0</v>
      </c>
      <c r="PX10" s="261">
        <v>0</v>
      </c>
      <c r="PY10" s="261">
        <v>0</v>
      </c>
      <c r="PZ10" s="262">
        <v>0</v>
      </c>
      <c r="QA10" s="261">
        <v>82571.08</v>
      </c>
      <c r="QB10" s="261">
        <v>126580.50599999999</v>
      </c>
      <c r="QC10" s="262">
        <v>-0.34767933381464</v>
      </c>
      <c r="QD10" s="261">
        <v>293070.70600000001</v>
      </c>
      <c r="QE10" s="261">
        <v>320786.46399999998</v>
      </c>
      <c r="QF10" s="262">
        <v>-8.6399399944755706E-2</v>
      </c>
      <c r="QG10" s="261">
        <v>1211421.5870000001</v>
      </c>
      <c r="QH10" s="261">
        <v>1156355.7239999999</v>
      </c>
      <c r="QI10" s="263">
        <v>4.7620175917423901E-2</v>
      </c>
      <c r="QJ10" s="261">
        <v>206261.64</v>
      </c>
      <c r="QK10" s="261">
        <v>0</v>
      </c>
      <c r="QL10" s="262">
        <v>0</v>
      </c>
      <c r="QM10" s="261">
        <v>810767.23699999996</v>
      </c>
      <c r="QN10" s="261">
        <v>0</v>
      </c>
      <c r="QO10" s="262">
        <v>0</v>
      </c>
      <c r="QP10" s="261">
        <v>1933905.7009999999</v>
      </c>
      <c r="QQ10" s="261">
        <v>0</v>
      </c>
      <c r="QR10" s="262">
        <v>0</v>
      </c>
      <c r="QS10" s="261">
        <v>0</v>
      </c>
      <c r="QT10" s="261">
        <v>0</v>
      </c>
      <c r="QU10" s="262">
        <v>0</v>
      </c>
      <c r="QV10" s="261">
        <v>0</v>
      </c>
      <c r="QW10" s="261">
        <v>0</v>
      </c>
      <c r="QX10" s="262">
        <v>0</v>
      </c>
      <c r="QY10" s="261">
        <v>0</v>
      </c>
      <c r="QZ10" s="261">
        <v>0</v>
      </c>
      <c r="RA10" s="262">
        <v>0</v>
      </c>
      <c r="RB10" s="261">
        <v>0</v>
      </c>
      <c r="RC10" s="261">
        <v>0</v>
      </c>
      <c r="RD10" s="262">
        <v>0</v>
      </c>
      <c r="RE10" s="261">
        <v>0</v>
      </c>
      <c r="RF10" s="261">
        <v>0</v>
      </c>
      <c r="RG10" s="262">
        <v>0</v>
      </c>
      <c r="RH10" s="261">
        <v>0</v>
      </c>
      <c r="RI10" s="261">
        <v>0</v>
      </c>
      <c r="RJ10" s="262">
        <v>0</v>
      </c>
      <c r="RK10" s="261">
        <v>0</v>
      </c>
      <c r="RL10" s="261">
        <v>0</v>
      </c>
      <c r="RM10" s="262">
        <v>0</v>
      </c>
      <c r="RN10" s="261">
        <v>0</v>
      </c>
      <c r="RO10" s="261">
        <v>0</v>
      </c>
      <c r="RP10" s="262">
        <v>0</v>
      </c>
      <c r="RQ10" s="261">
        <v>0</v>
      </c>
      <c r="RR10" s="261">
        <v>0</v>
      </c>
      <c r="RS10" s="262">
        <v>0</v>
      </c>
      <c r="RT10" s="261">
        <v>106513.632</v>
      </c>
      <c r="RU10" s="261">
        <v>98063.034</v>
      </c>
      <c r="RV10" s="262">
        <v>8.6175163619759104E-2</v>
      </c>
      <c r="RW10" s="261">
        <v>399584.33799999999</v>
      </c>
      <c r="RX10" s="261">
        <v>418849.49800000002</v>
      </c>
      <c r="RY10" s="262">
        <v>-4.5995423396687503E-2</v>
      </c>
      <c r="RZ10" s="261">
        <v>1219872.1850000001</v>
      </c>
      <c r="SA10" s="261">
        <v>1152940.17</v>
      </c>
      <c r="SB10" s="263">
        <v>5.8053328994513299E-2</v>
      </c>
      <c r="SC10" s="261">
        <v>257151.53599999999</v>
      </c>
      <c r="SD10" s="261">
        <v>0</v>
      </c>
      <c r="SE10" s="262">
        <v>0</v>
      </c>
      <c r="SF10" s="261">
        <v>1067918.773</v>
      </c>
      <c r="SG10" s="261">
        <v>0</v>
      </c>
      <c r="SH10" s="262">
        <v>0</v>
      </c>
      <c r="SI10" s="261">
        <v>2191057.2370000002</v>
      </c>
      <c r="SJ10" s="261">
        <v>0</v>
      </c>
      <c r="SK10" s="262">
        <v>0</v>
      </c>
      <c r="SL10" s="261">
        <v>0</v>
      </c>
      <c r="SM10" s="261">
        <v>0</v>
      </c>
      <c r="SN10" s="262">
        <v>0</v>
      </c>
      <c r="SO10" s="261">
        <v>0</v>
      </c>
      <c r="SP10" s="261">
        <v>0</v>
      </c>
      <c r="SQ10" s="262">
        <v>0</v>
      </c>
      <c r="SR10" s="261">
        <v>0</v>
      </c>
      <c r="SS10" s="261">
        <v>0</v>
      </c>
      <c r="ST10" s="262">
        <v>0</v>
      </c>
      <c r="SU10" s="261">
        <v>0</v>
      </c>
      <c r="SV10" s="261">
        <v>0</v>
      </c>
      <c r="SW10" s="262">
        <v>0</v>
      </c>
      <c r="SX10" s="261">
        <v>0</v>
      </c>
      <c r="SY10" s="261">
        <v>0</v>
      </c>
      <c r="SZ10" s="262">
        <v>0</v>
      </c>
      <c r="TA10" s="261">
        <v>0</v>
      </c>
      <c r="TB10" s="261">
        <v>0</v>
      </c>
      <c r="TC10" s="262">
        <v>0</v>
      </c>
      <c r="TD10" s="261">
        <v>0</v>
      </c>
      <c r="TE10" s="261">
        <v>0</v>
      </c>
      <c r="TF10" s="262">
        <v>0</v>
      </c>
      <c r="TG10" s="261">
        <v>0</v>
      </c>
      <c r="TH10" s="261">
        <v>0</v>
      </c>
      <c r="TI10" s="262">
        <v>0</v>
      </c>
      <c r="TJ10" s="261">
        <v>0</v>
      </c>
      <c r="TK10" s="261">
        <v>0</v>
      </c>
      <c r="TL10" s="262">
        <v>0</v>
      </c>
      <c r="TM10" s="261">
        <v>111859.878</v>
      </c>
      <c r="TN10" s="261">
        <v>81823.025999999998</v>
      </c>
      <c r="TO10" s="262">
        <v>0.36709534550824402</v>
      </c>
      <c r="TP10" s="261">
        <v>511444.21600000001</v>
      </c>
      <c r="TQ10" s="261">
        <v>500672.52399999998</v>
      </c>
      <c r="TR10" s="262">
        <v>2.1514446037386399E-2</v>
      </c>
      <c r="TS10" s="261">
        <v>1249909.037</v>
      </c>
      <c r="TT10" s="261">
        <v>1125453.2139999999</v>
      </c>
      <c r="TU10" s="263">
        <v>0.110582849159645</v>
      </c>
      <c r="TV10" s="261">
        <v>209141.152</v>
      </c>
      <c r="TW10" s="261">
        <v>0</v>
      </c>
      <c r="TX10" s="262">
        <v>0</v>
      </c>
      <c r="TY10" s="261">
        <v>1277059.925</v>
      </c>
      <c r="TZ10" s="261">
        <v>0</v>
      </c>
      <c r="UA10" s="262">
        <v>0</v>
      </c>
      <c r="UB10" s="261">
        <v>2400198.389</v>
      </c>
      <c r="UC10" s="261">
        <v>0</v>
      </c>
      <c r="UD10" s="262">
        <v>0</v>
      </c>
      <c r="UE10" s="261">
        <v>0</v>
      </c>
      <c r="UF10" s="261">
        <v>0</v>
      </c>
      <c r="UG10" s="262">
        <v>0</v>
      </c>
      <c r="UH10" s="261">
        <v>0</v>
      </c>
      <c r="UI10" s="261">
        <v>0</v>
      </c>
      <c r="UJ10" s="262">
        <v>0</v>
      </c>
      <c r="UK10" s="261">
        <v>0</v>
      </c>
      <c r="UL10" s="261">
        <v>0</v>
      </c>
      <c r="UM10" s="262">
        <v>0</v>
      </c>
      <c r="UN10" s="261">
        <v>0</v>
      </c>
      <c r="UO10" s="261">
        <v>0</v>
      </c>
      <c r="UP10" s="262">
        <v>0</v>
      </c>
      <c r="UQ10" s="261">
        <v>0</v>
      </c>
      <c r="UR10" s="261">
        <v>0</v>
      </c>
      <c r="US10" s="262">
        <v>0</v>
      </c>
      <c r="UT10" s="261">
        <v>0</v>
      </c>
      <c r="UU10" s="261">
        <v>0</v>
      </c>
      <c r="UV10" s="262">
        <v>0</v>
      </c>
      <c r="UW10" s="261">
        <v>0</v>
      </c>
      <c r="UX10" s="261">
        <v>0</v>
      </c>
      <c r="UY10" s="262">
        <v>0</v>
      </c>
      <c r="UZ10" s="261">
        <v>0</v>
      </c>
      <c r="VA10" s="261">
        <v>0</v>
      </c>
      <c r="VB10" s="262">
        <v>0</v>
      </c>
      <c r="VC10" s="261">
        <v>0</v>
      </c>
      <c r="VD10" s="261">
        <v>0</v>
      </c>
      <c r="VE10" s="262">
        <v>0</v>
      </c>
      <c r="VF10" s="261">
        <v>90531.129000000001</v>
      </c>
      <c r="VG10" s="261">
        <v>84304.407999999996</v>
      </c>
      <c r="VH10" s="262">
        <v>7.3859969457350405E-2</v>
      </c>
      <c r="VI10" s="261">
        <v>601975.34499999997</v>
      </c>
      <c r="VJ10" s="261">
        <v>584976.93200000003</v>
      </c>
      <c r="VK10" s="262">
        <v>2.9058262078614699E-2</v>
      </c>
      <c r="VL10" s="261">
        <v>1256135.7579999999</v>
      </c>
      <c r="VM10" s="261">
        <v>1127520.4099999999</v>
      </c>
      <c r="VN10" s="263">
        <v>0.114069197204155</v>
      </c>
    </row>
    <row r="11" spans="1:586">
      <c r="A11" s="267" t="s">
        <v>219</v>
      </c>
      <c r="B11" s="261">
        <v>0</v>
      </c>
      <c r="C11" s="261">
        <v>0</v>
      </c>
      <c r="D11" s="262">
        <v>0</v>
      </c>
      <c r="E11" s="261">
        <v>0</v>
      </c>
      <c r="F11" s="261">
        <v>0</v>
      </c>
      <c r="G11" s="262">
        <v>0</v>
      </c>
      <c r="H11" s="261">
        <v>0</v>
      </c>
      <c r="I11" s="261">
        <v>0</v>
      </c>
      <c r="J11" s="262">
        <v>0</v>
      </c>
      <c r="K11" s="261">
        <v>0</v>
      </c>
      <c r="L11" s="261">
        <v>0</v>
      </c>
      <c r="M11" s="262">
        <v>0</v>
      </c>
      <c r="N11" s="261">
        <v>0</v>
      </c>
      <c r="O11" s="261">
        <v>0</v>
      </c>
      <c r="P11" s="262">
        <v>0</v>
      </c>
      <c r="Q11" s="261">
        <v>0</v>
      </c>
      <c r="R11" s="261">
        <v>0</v>
      </c>
      <c r="S11" s="262">
        <v>0</v>
      </c>
      <c r="T11" s="261">
        <v>0</v>
      </c>
      <c r="U11" s="261">
        <v>0</v>
      </c>
      <c r="V11" s="262">
        <v>0</v>
      </c>
      <c r="W11" s="261">
        <v>0</v>
      </c>
      <c r="X11" s="261">
        <v>0</v>
      </c>
      <c r="Y11" s="262">
        <v>0</v>
      </c>
      <c r="Z11" s="261">
        <v>0</v>
      </c>
      <c r="AA11" s="261">
        <v>0</v>
      </c>
      <c r="AB11" s="262">
        <v>0</v>
      </c>
      <c r="AC11" s="261">
        <v>0</v>
      </c>
      <c r="AD11" s="261">
        <v>0</v>
      </c>
      <c r="AE11" s="262">
        <v>0</v>
      </c>
      <c r="AF11" s="261">
        <v>0</v>
      </c>
      <c r="AG11" s="261">
        <v>0</v>
      </c>
      <c r="AH11" s="262">
        <v>0</v>
      </c>
      <c r="AI11" s="261">
        <v>0</v>
      </c>
      <c r="AJ11" s="261">
        <v>0</v>
      </c>
      <c r="AK11" s="262">
        <v>0</v>
      </c>
      <c r="AL11" s="261">
        <v>0</v>
      </c>
      <c r="AM11" s="261">
        <v>0</v>
      </c>
      <c r="AN11" s="262">
        <v>0</v>
      </c>
      <c r="AO11" s="261">
        <v>0</v>
      </c>
      <c r="AP11" s="261">
        <v>0</v>
      </c>
      <c r="AQ11" s="262">
        <v>0</v>
      </c>
      <c r="AR11" s="261">
        <v>0</v>
      </c>
      <c r="AS11" s="261">
        <v>0</v>
      </c>
      <c r="AT11" s="263">
        <v>0</v>
      </c>
      <c r="AU11" s="261">
        <v>0</v>
      </c>
      <c r="AV11" s="261">
        <v>0</v>
      </c>
      <c r="AW11" s="262">
        <v>0</v>
      </c>
      <c r="AX11" s="261">
        <v>0</v>
      </c>
      <c r="AY11" s="261">
        <v>0</v>
      </c>
      <c r="AZ11" s="262">
        <v>0</v>
      </c>
      <c r="BA11" s="261">
        <v>0</v>
      </c>
      <c r="BB11" s="261">
        <v>0</v>
      </c>
      <c r="BC11" s="262">
        <v>0</v>
      </c>
      <c r="BD11" s="261">
        <v>0</v>
      </c>
      <c r="BE11" s="261">
        <v>0</v>
      </c>
      <c r="BF11" s="262">
        <v>0</v>
      </c>
      <c r="BG11" s="261">
        <v>0</v>
      </c>
      <c r="BH11" s="261">
        <v>0</v>
      </c>
      <c r="BI11" s="262">
        <v>0</v>
      </c>
      <c r="BJ11" s="261">
        <v>0</v>
      </c>
      <c r="BK11" s="261">
        <v>0</v>
      </c>
      <c r="BL11" s="262">
        <v>0</v>
      </c>
      <c r="BM11" s="261">
        <v>0</v>
      </c>
      <c r="BN11" s="261">
        <v>0</v>
      </c>
      <c r="BO11" s="262">
        <v>0</v>
      </c>
      <c r="BP11" s="261">
        <v>0</v>
      </c>
      <c r="BQ11" s="261">
        <v>0</v>
      </c>
      <c r="BR11" s="262">
        <v>0</v>
      </c>
      <c r="BS11" s="261">
        <v>0</v>
      </c>
      <c r="BT11" s="261">
        <v>0</v>
      </c>
      <c r="BU11" s="262">
        <v>0</v>
      </c>
      <c r="BV11" s="261">
        <v>0</v>
      </c>
      <c r="BW11" s="261">
        <v>0</v>
      </c>
      <c r="BX11" s="262">
        <v>0</v>
      </c>
      <c r="BY11" s="261">
        <v>0</v>
      </c>
      <c r="BZ11" s="261">
        <v>0</v>
      </c>
      <c r="CA11" s="262">
        <v>0</v>
      </c>
      <c r="CB11" s="261">
        <v>0</v>
      </c>
      <c r="CC11" s="261">
        <v>0</v>
      </c>
      <c r="CD11" s="262">
        <v>0</v>
      </c>
      <c r="CE11" s="261">
        <v>0</v>
      </c>
      <c r="CF11" s="261">
        <v>0</v>
      </c>
      <c r="CG11" s="262">
        <v>0</v>
      </c>
      <c r="CH11" s="261">
        <v>0</v>
      </c>
      <c r="CI11" s="261">
        <v>0</v>
      </c>
      <c r="CJ11" s="262">
        <v>0</v>
      </c>
      <c r="CK11" s="261">
        <v>0</v>
      </c>
      <c r="CL11" s="261">
        <v>0</v>
      </c>
      <c r="CM11" s="263">
        <v>0</v>
      </c>
      <c r="CN11" s="261">
        <v>0</v>
      </c>
      <c r="CO11" s="261">
        <v>0</v>
      </c>
      <c r="CP11" s="262">
        <v>0</v>
      </c>
      <c r="CQ11" s="261">
        <v>0</v>
      </c>
      <c r="CR11" s="261">
        <v>0</v>
      </c>
      <c r="CS11" s="262">
        <v>0</v>
      </c>
      <c r="CT11" s="261">
        <v>0</v>
      </c>
      <c r="CU11" s="261">
        <v>0</v>
      </c>
      <c r="CV11" s="262">
        <v>0</v>
      </c>
      <c r="CW11" s="261">
        <v>0</v>
      </c>
      <c r="CX11" s="261">
        <v>0</v>
      </c>
      <c r="CY11" s="262">
        <v>0</v>
      </c>
      <c r="CZ11" s="261">
        <v>0</v>
      </c>
      <c r="DA11" s="261">
        <v>0</v>
      </c>
      <c r="DB11" s="262">
        <v>0</v>
      </c>
      <c r="DC11" s="261">
        <v>0</v>
      </c>
      <c r="DD11" s="261">
        <v>0</v>
      </c>
      <c r="DE11" s="262">
        <v>0</v>
      </c>
      <c r="DF11" s="261">
        <v>0</v>
      </c>
      <c r="DG11" s="261">
        <v>0</v>
      </c>
      <c r="DH11" s="262">
        <v>0</v>
      </c>
      <c r="DI11" s="261">
        <v>0</v>
      </c>
      <c r="DJ11" s="261">
        <v>0</v>
      </c>
      <c r="DK11" s="262">
        <v>0</v>
      </c>
      <c r="DL11" s="261">
        <v>0</v>
      </c>
      <c r="DM11" s="261">
        <v>0</v>
      </c>
      <c r="DN11" s="262">
        <v>0</v>
      </c>
      <c r="DO11" s="261">
        <v>0</v>
      </c>
      <c r="DP11" s="261">
        <v>0</v>
      </c>
      <c r="DQ11" s="262">
        <v>0</v>
      </c>
      <c r="DR11" s="261">
        <v>0</v>
      </c>
      <c r="DS11" s="261">
        <v>0</v>
      </c>
      <c r="DT11" s="262">
        <v>0</v>
      </c>
      <c r="DU11" s="261">
        <v>0</v>
      </c>
      <c r="DV11" s="261">
        <v>0</v>
      </c>
      <c r="DW11" s="262">
        <v>0</v>
      </c>
      <c r="DX11" s="261">
        <v>0</v>
      </c>
      <c r="DY11" s="261">
        <v>0</v>
      </c>
      <c r="DZ11" s="262">
        <v>0</v>
      </c>
      <c r="EA11" s="261">
        <v>0</v>
      </c>
      <c r="EB11" s="261">
        <v>0</v>
      </c>
      <c r="EC11" s="262">
        <v>0</v>
      </c>
      <c r="ED11" s="261">
        <v>0</v>
      </c>
      <c r="EE11" s="261">
        <v>0</v>
      </c>
      <c r="EF11" s="263">
        <v>0</v>
      </c>
      <c r="EG11" s="261">
        <v>1E-3</v>
      </c>
      <c r="EH11" s="261">
        <v>0</v>
      </c>
      <c r="EI11" s="262">
        <v>0</v>
      </c>
      <c r="EJ11" s="261">
        <v>1E-3</v>
      </c>
      <c r="EK11" s="261">
        <v>0</v>
      </c>
      <c r="EL11" s="262">
        <v>0</v>
      </c>
      <c r="EM11" s="261">
        <v>1E-3</v>
      </c>
      <c r="EN11" s="261">
        <v>0</v>
      </c>
      <c r="EO11" s="262">
        <v>0</v>
      </c>
      <c r="EP11" s="261">
        <v>0</v>
      </c>
      <c r="EQ11" s="261">
        <v>0</v>
      </c>
      <c r="ER11" s="262">
        <v>0</v>
      </c>
      <c r="ES11" s="261">
        <v>0</v>
      </c>
      <c r="ET11" s="261">
        <v>0</v>
      </c>
      <c r="EU11" s="262">
        <v>0</v>
      </c>
      <c r="EV11" s="261">
        <v>0</v>
      </c>
      <c r="EW11" s="261">
        <v>0</v>
      </c>
      <c r="EX11" s="262">
        <v>0</v>
      </c>
      <c r="EY11" s="261">
        <v>0</v>
      </c>
      <c r="EZ11" s="261">
        <v>0</v>
      </c>
      <c r="FA11" s="262">
        <v>0</v>
      </c>
      <c r="FB11" s="261">
        <v>0</v>
      </c>
      <c r="FC11" s="261">
        <v>0</v>
      </c>
      <c r="FD11" s="262">
        <v>0</v>
      </c>
      <c r="FE11" s="261">
        <v>0</v>
      </c>
      <c r="FF11" s="261">
        <v>0</v>
      </c>
      <c r="FG11" s="262">
        <v>0</v>
      </c>
      <c r="FH11" s="261">
        <v>0</v>
      </c>
      <c r="FI11" s="261">
        <v>0</v>
      </c>
      <c r="FJ11" s="262">
        <v>0</v>
      </c>
      <c r="FK11" s="261">
        <v>0</v>
      </c>
      <c r="FL11" s="261">
        <v>0</v>
      </c>
      <c r="FM11" s="262">
        <v>0</v>
      </c>
      <c r="FN11" s="261">
        <v>0</v>
      </c>
      <c r="FO11" s="261">
        <v>0</v>
      </c>
      <c r="FP11" s="262">
        <v>0</v>
      </c>
      <c r="FQ11" s="261">
        <v>0</v>
      </c>
      <c r="FR11" s="261">
        <v>0</v>
      </c>
      <c r="FS11" s="262">
        <v>0</v>
      </c>
      <c r="FT11" s="261">
        <v>0</v>
      </c>
      <c r="FU11" s="261">
        <v>0</v>
      </c>
      <c r="FV11" s="262">
        <v>0</v>
      </c>
      <c r="FW11" s="261">
        <v>0</v>
      </c>
      <c r="FX11" s="261">
        <v>0</v>
      </c>
      <c r="FY11" s="263">
        <v>0</v>
      </c>
      <c r="FZ11" s="261">
        <v>0</v>
      </c>
      <c r="GA11" s="261">
        <v>0</v>
      </c>
      <c r="GB11" s="262">
        <v>0</v>
      </c>
      <c r="GC11" s="261">
        <v>1E-3</v>
      </c>
      <c r="GD11" s="261">
        <v>0</v>
      </c>
      <c r="GE11" s="262">
        <v>0</v>
      </c>
      <c r="GF11" s="261">
        <v>1E-3</v>
      </c>
      <c r="GG11" s="261">
        <v>0</v>
      </c>
      <c r="GH11" s="262">
        <v>0</v>
      </c>
      <c r="GI11" s="261">
        <v>0</v>
      </c>
      <c r="GJ11" s="261">
        <v>0</v>
      </c>
      <c r="GK11" s="262">
        <v>0</v>
      </c>
      <c r="GL11" s="261">
        <v>0</v>
      </c>
      <c r="GM11" s="261">
        <v>0</v>
      </c>
      <c r="GN11" s="262">
        <v>0</v>
      </c>
      <c r="GO11" s="261">
        <v>0</v>
      </c>
      <c r="GP11" s="261">
        <v>0</v>
      </c>
      <c r="GQ11" s="262">
        <v>0</v>
      </c>
      <c r="GR11" s="261">
        <v>0</v>
      </c>
      <c r="GS11" s="261">
        <v>0</v>
      </c>
      <c r="GT11" s="262">
        <v>0</v>
      </c>
      <c r="GU11" s="261">
        <v>0</v>
      </c>
      <c r="GV11" s="261">
        <v>0</v>
      </c>
      <c r="GW11" s="262">
        <v>0</v>
      </c>
      <c r="GX11" s="261">
        <v>0</v>
      </c>
      <c r="GY11" s="261">
        <v>0</v>
      </c>
      <c r="GZ11" s="262">
        <v>0</v>
      </c>
      <c r="HA11" s="261">
        <v>0</v>
      </c>
      <c r="HB11" s="261">
        <v>0</v>
      </c>
      <c r="HC11" s="262">
        <v>0</v>
      </c>
      <c r="HD11" s="261">
        <v>0</v>
      </c>
      <c r="HE11" s="261">
        <v>0</v>
      </c>
      <c r="HF11" s="262">
        <v>0</v>
      </c>
      <c r="HG11" s="261">
        <v>0</v>
      </c>
      <c r="HH11" s="261">
        <v>0</v>
      </c>
      <c r="HI11" s="262">
        <v>0</v>
      </c>
      <c r="HJ11" s="261">
        <v>0</v>
      </c>
      <c r="HK11" s="261">
        <v>0</v>
      </c>
      <c r="HL11" s="262">
        <v>0</v>
      </c>
      <c r="HM11" s="261">
        <v>0</v>
      </c>
      <c r="HN11" s="261">
        <v>0</v>
      </c>
      <c r="HO11" s="262">
        <v>0</v>
      </c>
      <c r="HP11" s="261">
        <v>0</v>
      </c>
      <c r="HQ11" s="261">
        <v>0</v>
      </c>
      <c r="HR11" s="263">
        <v>0</v>
      </c>
      <c r="HS11" s="261">
        <v>0</v>
      </c>
      <c r="HT11" s="261">
        <v>0</v>
      </c>
      <c r="HU11" s="262">
        <v>0</v>
      </c>
      <c r="HV11" s="261">
        <v>1E-3</v>
      </c>
      <c r="HW11" s="261">
        <v>0</v>
      </c>
      <c r="HX11" s="262">
        <v>0</v>
      </c>
      <c r="HY11" s="261">
        <v>1E-3</v>
      </c>
      <c r="HZ11" s="261">
        <v>0</v>
      </c>
      <c r="IA11" s="262">
        <v>0</v>
      </c>
      <c r="IB11" s="261">
        <v>0</v>
      </c>
      <c r="IC11" s="261">
        <v>0</v>
      </c>
      <c r="ID11" s="262">
        <v>0</v>
      </c>
      <c r="IE11" s="261">
        <v>0</v>
      </c>
      <c r="IF11" s="261">
        <v>0</v>
      </c>
      <c r="IG11" s="262">
        <v>0</v>
      </c>
      <c r="IH11" s="261">
        <v>0</v>
      </c>
      <c r="II11" s="261">
        <v>0</v>
      </c>
      <c r="IJ11" s="262">
        <v>0</v>
      </c>
      <c r="IK11" s="261">
        <v>0</v>
      </c>
      <c r="IL11" s="261">
        <v>0</v>
      </c>
      <c r="IM11" s="262">
        <v>0</v>
      </c>
      <c r="IN11" s="261">
        <v>0</v>
      </c>
      <c r="IO11" s="261">
        <v>0</v>
      </c>
      <c r="IP11" s="262">
        <v>0</v>
      </c>
      <c r="IQ11" s="261">
        <v>0</v>
      </c>
      <c r="IR11" s="261">
        <v>0</v>
      </c>
      <c r="IS11" s="262">
        <v>0</v>
      </c>
      <c r="IT11" s="261">
        <v>0</v>
      </c>
      <c r="IU11" s="261">
        <v>0</v>
      </c>
      <c r="IV11" s="262">
        <v>0</v>
      </c>
      <c r="IW11" s="261">
        <v>0</v>
      </c>
      <c r="IX11" s="261">
        <v>0</v>
      </c>
      <c r="IY11" s="262">
        <v>0</v>
      </c>
      <c r="IZ11" s="261">
        <v>0</v>
      </c>
      <c r="JA11" s="261">
        <v>0</v>
      </c>
      <c r="JB11" s="262">
        <v>0</v>
      </c>
      <c r="JC11" s="261">
        <v>0</v>
      </c>
      <c r="JD11" s="261">
        <v>0</v>
      </c>
      <c r="JE11" s="262">
        <v>0</v>
      </c>
      <c r="JF11" s="261">
        <v>0</v>
      </c>
      <c r="JG11" s="261">
        <v>0</v>
      </c>
      <c r="JH11" s="262">
        <v>0</v>
      </c>
      <c r="JI11" s="261">
        <v>0</v>
      </c>
      <c r="JJ11" s="261">
        <v>0</v>
      </c>
      <c r="JK11" s="263">
        <v>0</v>
      </c>
      <c r="JL11" s="261">
        <v>0</v>
      </c>
      <c r="JM11" s="261">
        <v>0</v>
      </c>
      <c r="JN11" s="262">
        <v>0</v>
      </c>
      <c r="JO11" s="261">
        <v>1E-3</v>
      </c>
      <c r="JP11" s="261">
        <v>0</v>
      </c>
      <c r="JQ11" s="262">
        <v>0</v>
      </c>
      <c r="JR11" s="261">
        <v>1E-3</v>
      </c>
      <c r="JS11" s="261">
        <v>0</v>
      </c>
      <c r="JT11" s="262">
        <v>0</v>
      </c>
      <c r="JU11" s="261">
        <v>0</v>
      </c>
      <c r="JV11" s="261">
        <v>0</v>
      </c>
      <c r="JW11" s="262">
        <v>0</v>
      </c>
      <c r="JX11" s="261">
        <v>0</v>
      </c>
      <c r="JY11" s="261">
        <v>0</v>
      </c>
      <c r="JZ11" s="262">
        <v>0</v>
      </c>
      <c r="KA11" s="261">
        <v>0</v>
      </c>
      <c r="KB11" s="261">
        <v>0</v>
      </c>
      <c r="KC11" s="262">
        <v>0</v>
      </c>
      <c r="KD11" s="261">
        <v>0</v>
      </c>
      <c r="KE11" s="261">
        <v>0</v>
      </c>
      <c r="KF11" s="262">
        <v>0</v>
      </c>
      <c r="KG11" s="261">
        <v>0</v>
      </c>
      <c r="KH11" s="261">
        <v>0</v>
      </c>
      <c r="KI11" s="262">
        <v>0</v>
      </c>
      <c r="KJ11" s="261">
        <v>0</v>
      </c>
      <c r="KK11" s="261">
        <v>0</v>
      </c>
      <c r="KL11" s="262">
        <v>0</v>
      </c>
      <c r="KM11" s="261">
        <v>0</v>
      </c>
      <c r="KN11" s="261">
        <v>0</v>
      </c>
      <c r="KO11" s="262">
        <v>0</v>
      </c>
      <c r="KP11" s="261">
        <v>0</v>
      </c>
      <c r="KQ11" s="261">
        <v>0</v>
      </c>
      <c r="KR11" s="262">
        <v>0</v>
      </c>
      <c r="KS11" s="261">
        <v>0</v>
      </c>
      <c r="KT11" s="261">
        <v>0</v>
      </c>
      <c r="KU11" s="262">
        <v>0</v>
      </c>
      <c r="KV11" s="261">
        <v>0</v>
      </c>
      <c r="KW11" s="261">
        <v>0</v>
      </c>
      <c r="KX11" s="262">
        <v>0</v>
      </c>
      <c r="KY11" s="261">
        <v>0</v>
      </c>
      <c r="KZ11" s="261">
        <v>0</v>
      </c>
      <c r="LA11" s="262">
        <v>0</v>
      </c>
      <c r="LB11" s="261">
        <v>0</v>
      </c>
      <c r="LC11" s="261">
        <v>0</v>
      </c>
      <c r="LD11" s="263">
        <v>0</v>
      </c>
      <c r="LE11" s="261">
        <v>0</v>
      </c>
      <c r="LF11" s="261">
        <v>0</v>
      </c>
      <c r="LG11" s="262">
        <v>0</v>
      </c>
      <c r="LH11" s="261">
        <v>0</v>
      </c>
      <c r="LI11" s="261">
        <v>0</v>
      </c>
      <c r="LJ11" s="262">
        <v>0</v>
      </c>
      <c r="LK11" s="261">
        <v>1E-3</v>
      </c>
      <c r="LL11" s="261">
        <v>0</v>
      </c>
      <c r="LM11" s="262">
        <v>0</v>
      </c>
      <c r="LN11" s="261">
        <v>0</v>
      </c>
      <c r="LO11" s="261">
        <v>0</v>
      </c>
      <c r="LP11" s="262">
        <v>0</v>
      </c>
      <c r="LQ11" s="261">
        <v>0</v>
      </c>
      <c r="LR11" s="261">
        <v>0</v>
      </c>
      <c r="LS11" s="262">
        <v>0</v>
      </c>
      <c r="LT11" s="261">
        <v>0</v>
      </c>
      <c r="LU11" s="261">
        <v>0</v>
      </c>
      <c r="LV11" s="262">
        <v>0</v>
      </c>
      <c r="LW11" s="261">
        <v>0</v>
      </c>
      <c r="LX11" s="261">
        <v>0</v>
      </c>
      <c r="LY11" s="262">
        <v>0</v>
      </c>
      <c r="LZ11" s="261">
        <v>0</v>
      </c>
      <c r="MA11" s="261">
        <v>0</v>
      </c>
      <c r="MB11" s="262">
        <v>0</v>
      </c>
      <c r="MC11" s="261">
        <v>0</v>
      </c>
      <c r="MD11" s="261">
        <v>0</v>
      </c>
      <c r="ME11" s="262">
        <v>0</v>
      </c>
      <c r="MF11" s="261">
        <v>0</v>
      </c>
      <c r="MG11" s="261">
        <v>0</v>
      </c>
      <c r="MH11" s="262">
        <v>0</v>
      </c>
      <c r="MI11" s="261">
        <v>0</v>
      </c>
      <c r="MJ11" s="261">
        <v>0</v>
      </c>
      <c r="MK11" s="262">
        <v>0</v>
      </c>
      <c r="ML11" s="261">
        <v>0</v>
      </c>
      <c r="MM11" s="261">
        <v>0</v>
      </c>
      <c r="MN11" s="262">
        <v>0</v>
      </c>
      <c r="MO11" s="261">
        <v>0</v>
      </c>
      <c r="MP11" s="261">
        <v>0</v>
      </c>
      <c r="MQ11" s="262">
        <v>0</v>
      </c>
      <c r="MR11" s="261">
        <v>0</v>
      </c>
      <c r="MS11" s="261">
        <v>0</v>
      </c>
      <c r="MT11" s="262">
        <v>0</v>
      </c>
      <c r="MU11" s="261">
        <v>0</v>
      </c>
      <c r="MV11" s="261">
        <v>0</v>
      </c>
      <c r="MW11" s="263">
        <v>0</v>
      </c>
      <c r="MX11" s="261">
        <v>0</v>
      </c>
      <c r="MY11" s="261">
        <v>0</v>
      </c>
      <c r="MZ11" s="262">
        <v>0</v>
      </c>
      <c r="NA11" s="261">
        <v>0</v>
      </c>
      <c r="NB11" s="261">
        <v>0</v>
      </c>
      <c r="NC11" s="262">
        <v>0</v>
      </c>
      <c r="ND11" s="261">
        <v>1E-3</v>
      </c>
      <c r="NE11" s="261">
        <v>0</v>
      </c>
      <c r="NF11" s="262">
        <v>0</v>
      </c>
      <c r="NG11" s="261">
        <v>0</v>
      </c>
      <c r="NH11" s="261">
        <v>0</v>
      </c>
      <c r="NI11" s="262">
        <v>0</v>
      </c>
      <c r="NJ11" s="261">
        <v>0</v>
      </c>
      <c r="NK11" s="261">
        <v>0</v>
      </c>
      <c r="NL11" s="262">
        <v>0</v>
      </c>
      <c r="NM11" s="261">
        <v>0</v>
      </c>
      <c r="NN11" s="261">
        <v>0</v>
      </c>
      <c r="NO11" s="262">
        <v>0</v>
      </c>
      <c r="NP11" s="261">
        <v>0</v>
      </c>
      <c r="NQ11" s="261">
        <v>0</v>
      </c>
      <c r="NR11" s="262">
        <v>0</v>
      </c>
      <c r="NS11" s="261">
        <v>0</v>
      </c>
      <c r="NT11" s="261">
        <v>0</v>
      </c>
      <c r="NU11" s="262">
        <v>0</v>
      </c>
      <c r="NV11" s="261">
        <v>0</v>
      </c>
      <c r="NW11" s="261">
        <v>0</v>
      </c>
      <c r="NX11" s="262">
        <v>0</v>
      </c>
      <c r="NY11" s="261">
        <v>0</v>
      </c>
      <c r="NZ11" s="261">
        <v>0</v>
      </c>
      <c r="OA11" s="262">
        <v>0</v>
      </c>
      <c r="OB11" s="261">
        <v>0</v>
      </c>
      <c r="OC11" s="261">
        <v>0</v>
      </c>
      <c r="OD11" s="262">
        <v>0</v>
      </c>
      <c r="OE11" s="261">
        <v>0</v>
      </c>
      <c r="OF11" s="261">
        <v>0</v>
      </c>
      <c r="OG11" s="262">
        <v>0</v>
      </c>
      <c r="OH11" s="261">
        <v>0</v>
      </c>
      <c r="OI11" s="261">
        <v>0</v>
      </c>
      <c r="OJ11" s="262">
        <v>0</v>
      </c>
      <c r="OK11" s="261">
        <v>0</v>
      </c>
      <c r="OL11" s="261">
        <v>0</v>
      </c>
      <c r="OM11" s="262">
        <v>0</v>
      </c>
      <c r="ON11" s="261">
        <v>0</v>
      </c>
      <c r="OO11" s="261">
        <v>0</v>
      </c>
      <c r="OP11" s="263">
        <v>0</v>
      </c>
      <c r="OQ11" s="261">
        <v>0</v>
      </c>
      <c r="OR11" s="261">
        <v>0</v>
      </c>
      <c r="OS11" s="262">
        <v>0</v>
      </c>
      <c r="OT11" s="261">
        <v>0</v>
      </c>
      <c r="OU11" s="261">
        <v>0</v>
      </c>
      <c r="OV11" s="262">
        <v>0</v>
      </c>
      <c r="OW11" s="261">
        <v>1E-3</v>
      </c>
      <c r="OX11" s="261">
        <v>0</v>
      </c>
      <c r="OY11" s="262">
        <v>0</v>
      </c>
      <c r="OZ11" s="261">
        <v>0</v>
      </c>
      <c r="PA11" s="261">
        <v>0</v>
      </c>
      <c r="PB11" s="262">
        <v>0</v>
      </c>
      <c r="PC11" s="261">
        <v>0</v>
      </c>
      <c r="PD11" s="261">
        <v>0</v>
      </c>
      <c r="PE11" s="262">
        <v>0</v>
      </c>
      <c r="PF11" s="261">
        <v>0</v>
      </c>
      <c r="PG11" s="261">
        <v>0</v>
      </c>
      <c r="PH11" s="262">
        <v>0</v>
      </c>
      <c r="PI11" s="261">
        <v>0</v>
      </c>
      <c r="PJ11" s="261">
        <v>0</v>
      </c>
      <c r="PK11" s="262">
        <v>0</v>
      </c>
      <c r="PL11" s="261">
        <v>0</v>
      </c>
      <c r="PM11" s="261">
        <v>0</v>
      </c>
      <c r="PN11" s="262">
        <v>0</v>
      </c>
      <c r="PO11" s="261">
        <v>0</v>
      </c>
      <c r="PP11" s="261">
        <v>0</v>
      </c>
      <c r="PQ11" s="262">
        <v>0</v>
      </c>
      <c r="PR11" s="261">
        <v>0</v>
      </c>
      <c r="PS11" s="261">
        <v>0</v>
      </c>
      <c r="PT11" s="262">
        <v>0</v>
      </c>
      <c r="PU11" s="261">
        <v>0</v>
      </c>
      <c r="PV11" s="261">
        <v>0</v>
      </c>
      <c r="PW11" s="262">
        <v>0</v>
      </c>
      <c r="PX11" s="261">
        <v>0</v>
      </c>
      <c r="PY11" s="261">
        <v>0</v>
      </c>
      <c r="PZ11" s="262">
        <v>0</v>
      </c>
      <c r="QA11" s="261">
        <v>0</v>
      </c>
      <c r="QB11" s="261">
        <v>0</v>
      </c>
      <c r="QC11" s="262">
        <v>0</v>
      </c>
      <c r="QD11" s="261">
        <v>0</v>
      </c>
      <c r="QE11" s="261">
        <v>0</v>
      </c>
      <c r="QF11" s="262">
        <v>0</v>
      </c>
      <c r="QG11" s="261">
        <v>0</v>
      </c>
      <c r="QH11" s="261">
        <v>0</v>
      </c>
      <c r="QI11" s="263">
        <v>0</v>
      </c>
      <c r="QJ11" s="261">
        <v>0</v>
      </c>
      <c r="QK11" s="261">
        <v>0</v>
      </c>
      <c r="QL11" s="262">
        <v>0</v>
      </c>
      <c r="QM11" s="261">
        <v>0</v>
      </c>
      <c r="QN11" s="261">
        <v>0</v>
      </c>
      <c r="QO11" s="262">
        <v>0</v>
      </c>
      <c r="QP11" s="261">
        <v>1E-3</v>
      </c>
      <c r="QQ11" s="261">
        <v>0</v>
      </c>
      <c r="QR11" s="262">
        <v>0</v>
      </c>
      <c r="QS11" s="261">
        <v>0</v>
      </c>
      <c r="QT11" s="261">
        <v>0</v>
      </c>
      <c r="QU11" s="262">
        <v>0</v>
      </c>
      <c r="QV11" s="261">
        <v>0</v>
      </c>
      <c r="QW11" s="261">
        <v>0</v>
      </c>
      <c r="QX11" s="262">
        <v>0</v>
      </c>
      <c r="QY11" s="261">
        <v>0</v>
      </c>
      <c r="QZ11" s="261">
        <v>0</v>
      </c>
      <c r="RA11" s="262">
        <v>0</v>
      </c>
      <c r="RB11" s="261">
        <v>0</v>
      </c>
      <c r="RC11" s="261">
        <v>0</v>
      </c>
      <c r="RD11" s="262">
        <v>0</v>
      </c>
      <c r="RE11" s="261">
        <v>0</v>
      </c>
      <c r="RF11" s="261">
        <v>0</v>
      </c>
      <c r="RG11" s="262">
        <v>0</v>
      </c>
      <c r="RH11" s="261">
        <v>0</v>
      </c>
      <c r="RI11" s="261">
        <v>0</v>
      </c>
      <c r="RJ11" s="262">
        <v>0</v>
      </c>
      <c r="RK11" s="261">
        <v>0</v>
      </c>
      <c r="RL11" s="261">
        <v>0</v>
      </c>
      <c r="RM11" s="262">
        <v>0</v>
      </c>
      <c r="RN11" s="261">
        <v>0</v>
      </c>
      <c r="RO11" s="261">
        <v>0</v>
      </c>
      <c r="RP11" s="262">
        <v>0</v>
      </c>
      <c r="RQ11" s="261">
        <v>0</v>
      </c>
      <c r="RR11" s="261">
        <v>0</v>
      </c>
      <c r="RS11" s="262">
        <v>0</v>
      </c>
      <c r="RT11" s="261">
        <v>0</v>
      </c>
      <c r="RU11" s="261">
        <v>0</v>
      </c>
      <c r="RV11" s="262">
        <v>0</v>
      </c>
      <c r="RW11" s="261">
        <v>0</v>
      </c>
      <c r="RX11" s="261">
        <v>0</v>
      </c>
      <c r="RY11" s="262">
        <v>0</v>
      </c>
      <c r="RZ11" s="261">
        <v>0</v>
      </c>
      <c r="SA11" s="261">
        <v>0</v>
      </c>
      <c r="SB11" s="263">
        <v>0</v>
      </c>
      <c r="SC11" s="261">
        <v>0</v>
      </c>
      <c r="SD11" s="261">
        <v>0</v>
      </c>
      <c r="SE11" s="262">
        <v>0</v>
      </c>
      <c r="SF11" s="261">
        <v>0</v>
      </c>
      <c r="SG11" s="261">
        <v>0</v>
      </c>
      <c r="SH11" s="262">
        <v>0</v>
      </c>
      <c r="SI11" s="261">
        <v>1E-3</v>
      </c>
      <c r="SJ11" s="261">
        <v>0</v>
      </c>
      <c r="SK11" s="262">
        <v>0</v>
      </c>
      <c r="SL11" s="261">
        <v>0</v>
      </c>
      <c r="SM11" s="261">
        <v>0</v>
      </c>
      <c r="SN11" s="262">
        <v>0</v>
      </c>
      <c r="SO11" s="261">
        <v>0</v>
      </c>
      <c r="SP11" s="261">
        <v>0</v>
      </c>
      <c r="SQ11" s="262">
        <v>0</v>
      </c>
      <c r="SR11" s="261">
        <v>0</v>
      </c>
      <c r="SS11" s="261">
        <v>0</v>
      </c>
      <c r="ST11" s="262">
        <v>0</v>
      </c>
      <c r="SU11" s="261">
        <v>0</v>
      </c>
      <c r="SV11" s="261">
        <v>0</v>
      </c>
      <c r="SW11" s="262">
        <v>0</v>
      </c>
      <c r="SX11" s="261">
        <v>0</v>
      </c>
      <c r="SY11" s="261">
        <v>0</v>
      </c>
      <c r="SZ11" s="262">
        <v>0</v>
      </c>
      <c r="TA11" s="261">
        <v>0</v>
      </c>
      <c r="TB11" s="261">
        <v>0</v>
      </c>
      <c r="TC11" s="262">
        <v>0</v>
      </c>
      <c r="TD11" s="261">
        <v>0</v>
      </c>
      <c r="TE11" s="261">
        <v>0</v>
      </c>
      <c r="TF11" s="262">
        <v>0</v>
      </c>
      <c r="TG11" s="261">
        <v>0</v>
      </c>
      <c r="TH11" s="261">
        <v>0</v>
      </c>
      <c r="TI11" s="262">
        <v>0</v>
      </c>
      <c r="TJ11" s="261">
        <v>0</v>
      </c>
      <c r="TK11" s="261">
        <v>0</v>
      </c>
      <c r="TL11" s="262">
        <v>0</v>
      </c>
      <c r="TM11" s="261">
        <v>0</v>
      </c>
      <c r="TN11" s="261">
        <v>0</v>
      </c>
      <c r="TO11" s="262">
        <v>0</v>
      </c>
      <c r="TP11" s="261">
        <v>0</v>
      </c>
      <c r="TQ11" s="261">
        <v>0</v>
      </c>
      <c r="TR11" s="262">
        <v>0</v>
      </c>
      <c r="TS11" s="261">
        <v>0</v>
      </c>
      <c r="TT11" s="261">
        <v>0</v>
      </c>
      <c r="TU11" s="263">
        <v>0</v>
      </c>
      <c r="TV11" s="261">
        <v>0</v>
      </c>
      <c r="TW11" s="261">
        <v>0</v>
      </c>
      <c r="TX11" s="262">
        <v>0</v>
      </c>
      <c r="TY11" s="261">
        <v>0</v>
      </c>
      <c r="TZ11" s="261">
        <v>0</v>
      </c>
      <c r="UA11" s="262">
        <v>0</v>
      </c>
      <c r="UB11" s="261">
        <v>1E-3</v>
      </c>
      <c r="UC11" s="261">
        <v>0</v>
      </c>
      <c r="UD11" s="262">
        <v>0</v>
      </c>
      <c r="UE11" s="261">
        <v>0</v>
      </c>
      <c r="UF11" s="261">
        <v>0</v>
      </c>
      <c r="UG11" s="262">
        <v>0</v>
      </c>
      <c r="UH11" s="261">
        <v>0</v>
      </c>
      <c r="UI11" s="261">
        <v>0</v>
      </c>
      <c r="UJ11" s="262">
        <v>0</v>
      </c>
      <c r="UK11" s="261">
        <v>0</v>
      </c>
      <c r="UL11" s="261">
        <v>0</v>
      </c>
      <c r="UM11" s="262">
        <v>0</v>
      </c>
      <c r="UN11" s="261">
        <v>0</v>
      </c>
      <c r="UO11" s="261">
        <v>0</v>
      </c>
      <c r="UP11" s="262">
        <v>0</v>
      </c>
      <c r="UQ11" s="261">
        <v>0</v>
      </c>
      <c r="UR11" s="261">
        <v>0</v>
      </c>
      <c r="US11" s="262">
        <v>0</v>
      </c>
      <c r="UT11" s="261">
        <v>0</v>
      </c>
      <c r="UU11" s="261">
        <v>0</v>
      </c>
      <c r="UV11" s="262">
        <v>0</v>
      </c>
      <c r="UW11" s="261">
        <v>0</v>
      </c>
      <c r="UX11" s="261">
        <v>0</v>
      </c>
      <c r="UY11" s="262">
        <v>0</v>
      </c>
      <c r="UZ11" s="261">
        <v>0</v>
      </c>
      <c r="VA11" s="261">
        <v>0</v>
      </c>
      <c r="VB11" s="262">
        <v>0</v>
      </c>
      <c r="VC11" s="261">
        <v>0</v>
      </c>
      <c r="VD11" s="261">
        <v>0</v>
      </c>
      <c r="VE11" s="262">
        <v>0</v>
      </c>
      <c r="VF11" s="261">
        <v>0</v>
      </c>
      <c r="VG11" s="261">
        <v>0</v>
      </c>
      <c r="VH11" s="262">
        <v>0</v>
      </c>
      <c r="VI11" s="261">
        <v>0</v>
      </c>
      <c r="VJ11" s="261">
        <v>0</v>
      </c>
      <c r="VK11" s="262">
        <v>0</v>
      </c>
      <c r="VL11" s="261">
        <v>0</v>
      </c>
      <c r="VM11" s="261">
        <v>0</v>
      </c>
      <c r="VN11" s="263">
        <v>0</v>
      </c>
    </row>
    <row r="12" spans="1:586">
      <c r="A12" s="267" t="s">
        <v>11</v>
      </c>
      <c r="B12" s="261">
        <v>3981030.0649999999</v>
      </c>
      <c r="C12" s="261">
        <v>1635045.0959999999</v>
      </c>
      <c r="D12" s="262">
        <v>1.43481361751994</v>
      </c>
      <c r="E12" s="261">
        <v>16069237.313999999</v>
      </c>
      <c r="F12" s="261">
        <v>10844027.32</v>
      </c>
      <c r="G12" s="262">
        <v>0.48185142288999699</v>
      </c>
      <c r="H12" s="261">
        <v>34331933.916000001</v>
      </c>
      <c r="I12" s="261">
        <v>32566906.666000001</v>
      </c>
      <c r="J12" s="262">
        <v>5.4196957300912403E-2</v>
      </c>
      <c r="K12" s="261">
        <v>0</v>
      </c>
      <c r="L12" s="261">
        <v>0</v>
      </c>
      <c r="M12" s="262">
        <v>0</v>
      </c>
      <c r="N12" s="261">
        <v>0</v>
      </c>
      <c r="O12" s="261">
        <v>0</v>
      </c>
      <c r="P12" s="262">
        <v>0</v>
      </c>
      <c r="Q12" s="261">
        <v>0</v>
      </c>
      <c r="R12" s="261">
        <v>0</v>
      </c>
      <c r="S12" s="262">
        <v>0</v>
      </c>
      <c r="T12" s="261">
        <v>0</v>
      </c>
      <c r="U12" s="261">
        <v>0</v>
      </c>
      <c r="V12" s="262">
        <v>0</v>
      </c>
      <c r="W12" s="261">
        <v>0</v>
      </c>
      <c r="X12" s="261">
        <v>0</v>
      </c>
      <c r="Y12" s="262">
        <v>0</v>
      </c>
      <c r="Z12" s="261">
        <v>0</v>
      </c>
      <c r="AA12" s="261">
        <v>0</v>
      </c>
      <c r="AB12" s="262">
        <v>0</v>
      </c>
      <c r="AC12" s="261">
        <v>274475.86300000001</v>
      </c>
      <c r="AD12" s="261">
        <v>213691.13200000001</v>
      </c>
      <c r="AE12" s="262">
        <v>0.28445135009158901</v>
      </c>
      <c r="AF12" s="261">
        <v>1442571.264</v>
      </c>
      <c r="AG12" s="261">
        <v>1308312.9669999999</v>
      </c>
      <c r="AH12" s="262">
        <v>0.10261940406190299</v>
      </c>
      <c r="AI12" s="261">
        <v>3046974.1549999998</v>
      </c>
      <c r="AJ12" s="261">
        <v>2957902.318</v>
      </c>
      <c r="AK12" s="262">
        <v>3.0113177320955701E-2</v>
      </c>
      <c r="AL12" s="261">
        <v>284166.90399999998</v>
      </c>
      <c r="AM12" s="261">
        <v>271169.05599999998</v>
      </c>
      <c r="AN12" s="262">
        <v>4.79326372696448E-2</v>
      </c>
      <c r="AO12" s="261">
        <v>1786534.7890000001</v>
      </c>
      <c r="AP12" s="261">
        <v>1789099.1610000001</v>
      </c>
      <c r="AQ12" s="262">
        <v>-1.43333139710749E-3</v>
      </c>
      <c r="AR12" s="261">
        <v>3732978.27</v>
      </c>
      <c r="AS12" s="261">
        <v>3733548.0019999999</v>
      </c>
      <c r="AT12" s="263">
        <v>-1.5259801124684801E-4</v>
      </c>
      <c r="AU12" s="261">
        <v>3578606.4449999998</v>
      </c>
      <c r="AV12" s="261">
        <v>2713266.307</v>
      </c>
      <c r="AW12" s="262">
        <v>0.31892930515795498</v>
      </c>
      <c r="AX12" s="261">
        <v>19647843.759</v>
      </c>
      <c r="AY12" s="261">
        <v>13557293.627</v>
      </c>
      <c r="AZ12" s="262">
        <v>0.44924527708615702</v>
      </c>
      <c r="BA12" s="261">
        <v>35197274.053999998</v>
      </c>
      <c r="BB12" s="261">
        <v>30845206.681000002</v>
      </c>
      <c r="BC12" s="262">
        <v>0.14109379839820599</v>
      </c>
      <c r="BD12" s="261">
        <v>0</v>
      </c>
      <c r="BE12" s="261">
        <v>0</v>
      </c>
      <c r="BF12" s="262">
        <v>0</v>
      </c>
      <c r="BG12" s="261">
        <v>0</v>
      </c>
      <c r="BH12" s="261">
        <v>0</v>
      </c>
      <c r="BI12" s="262">
        <v>0</v>
      </c>
      <c r="BJ12" s="261">
        <v>0</v>
      </c>
      <c r="BK12" s="261">
        <v>0</v>
      </c>
      <c r="BL12" s="262">
        <v>0</v>
      </c>
      <c r="BM12" s="261">
        <v>0</v>
      </c>
      <c r="BN12" s="261">
        <v>0</v>
      </c>
      <c r="BO12" s="262">
        <v>0</v>
      </c>
      <c r="BP12" s="261">
        <v>0</v>
      </c>
      <c r="BQ12" s="261">
        <v>0</v>
      </c>
      <c r="BR12" s="262">
        <v>0</v>
      </c>
      <c r="BS12" s="261">
        <v>0</v>
      </c>
      <c r="BT12" s="261">
        <v>0</v>
      </c>
      <c r="BU12" s="262">
        <v>0</v>
      </c>
      <c r="BV12" s="261">
        <v>334267.56199999998</v>
      </c>
      <c r="BW12" s="261">
        <v>274345.56800000003</v>
      </c>
      <c r="BX12" s="262">
        <v>0.218417940690042</v>
      </c>
      <c r="BY12" s="261">
        <v>1776838.8259999999</v>
      </c>
      <c r="BZ12" s="261">
        <v>1582658.5349999999</v>
      </c>
      <c r="CA12" s="262">
        <v>0.122692473901201</v>
      </c>
      <c r="CB12" s="261">
        <v>3106896.1490000002</v>
      </c>
      <c r="CC12" s="261">
        <v>2914964.2820000001</v>
      </c>
      <c r="CD12" s="262">
        <v>6.5843642814145495E-2</v>
      </c>
      <c r="CE12" s="261">
        <v>316704.03899999999</v>
      </c>
      <c r="CF12" s="261">
        <v>265515.2</v>
      </c>
      <c r="CG12" s="262">
        <v>0.19279061613045101</v>
      </c>
      <c r="CH12" s="261">
        <v>2103238.8280000002</v>
      </c>
      <c r="CI12" s="261">
        <v>2054614.361</v>
      </c>
      <c r="CJ12" s="262">
        <v>2.36659822509632E-2</v>
      </c>
      <c r="CK12" s="261">
        <v>3784167.1090000002</v>
      </c>
      <c r="CL12" s="261">
        <v>3746752.1179999998</v>
      </c>
      <c r="CM12" s="263">
        <v>9.9859798090865797E-3</v>
      </c>
      <c r="CN12" s="261">
        <v>3538346.3089999999</v>
      </c>
      <c r="CO12" s="261">
        <v>2914428.9709999999</v>
      </c>
      <c r="CP12" s="262">
        <v>0.21407875923835601</v>
      </c>
      <c r="CQ12" s="261">
        <v>23186190.068</v>
      </c>
      <c r="CR12" s="261">
        <v>16471722.597999999</v>
      </c>
      <c r="CS12" s="262">
        <v>0.40763602167603702</v>
      </c>
      <c r="CT12" s="261">
        <v>35821191.391999997</v>
      </c>
      <c r="CU12" s="261">
        <v>29334432.874000002</v>
      </c>
      <c r="CV12" s="262">
        <v>0.22113120597430799</v>
      </c>
      <c r="CW12" s="261">
        <v>0</v>
      </c>
      <c r="CX12" s="261">
        <v>0</v>
      </c>
      <c r="CY12" s="262">
        <v>0</v>
      </c>
      <c r="CZ12" s="261">
        <v>0</v>
      </c>
      <c r="DA12" s="261">
        <v>0</v>
      </c>
      <c r="DB12" s="262">
        <v>0</v>
      </c>
      <c r="DC12" s="261">
        <v>0</v>
      </c>
      <c r="DD12" s="261">
        <v>0</v>
      </c>
      <c r="DE12" s="262">
        <v>0</v>
      </c>
      <c r="DF12" s="261">
        <v>0</v>
      </c>
      <c r="DG12" s="261">
        <v>0</v>
      </c>
      <c r="DH12" s="262">
        <v>0</v>
      </c>
      <c r="DI12" s="261">
        <v>0</v>
      </c>
      <c r="DJ12" s="261">
        <v>0</v>
      </c>
      <c r="DK12" s="262">
        <v>0</v>
      </c>
      <c r="DL12" s="261">
        <v>0</v>
      </c>
      <c r="DM12" s="261">
        <v>0</v>
      </c>
      <c r="DN12" s="262">
        <v>0</v>
      </c>
      <c r="DO12" s="261">
        <v>319074.13400000002</v>
      </c>
      <c r="DP12" s="261">
        <v>334325.76699999999</v>
      </c>
      <c r="DQ12" s="262">
        <v>-4.5619077275608197E-2</v>
      </c>
      <c r="DR12" s="261">
        <v>2095912.96</v>
      </c>
      <c r="DS12" s="261">
        <v>1916984.3019999999</v>
      </c>
      <c r="DT12" s="262">
        <v>9.3338614099929204E-2</v>
      </c>
      <c r="DU12" s="261">
        <v>3091644.5159999998</v>
      </c>
      <c r="DV12" s="261">
        <v>2924162.01</v>
      </c>
      <c r="DW12" s="262">
        <v>5.7275385367584399E-2</v>
      </c>
      <c r="DX12" s="261">
        <v>340029.93599999999</v>
      </c>
      <c r="DY12" s="261">
        <v>260370.47399999999</v>
      </c>
      <c r="DZ12" s="262">
        <v>0.30594660283946001</v>
      </c>
      <c r="EA12" s="261">
        <v>2443268.764</v>
      </c>
      <c r="EB12" s="261">
        <v>2314984.835</v>
      </c>
      <c r="EC12" s="262">
        <v>5.5414587197501003E-2</v>
      </c>
      <c r="ED12" s="261">
        <v>3863826.571</v>
      </c>
      <c r="EE12" s="261">
        <v>3698503.2080000001</v>
      </c>
      <c r="EF12" s="263">
        <v>4.4700072895002302E-2</v>
      </c>
      <c r="EG12" s="261">
        <v>3151579.966</v>
      </c>
      <c r="EH12" s="261">
        <v>2348252.8990000002</v>
      </c>
      <c r="EI12" s="262">
        <v>0.34209563516012098</v>
      </c>
      <c r="EJ12" s="261">
        <v>26337770.034000002</v>
      </c>
      <c r="EK12" s="261">
        <v>18819975.497000001</v>
      </c>
      <c r="EL12" s="262">
        <v>0.39945825318414302</v>
      </c>
      <c r="EM12" s="261">
        <v>36624518.458999999</v>
      </c>
      <c r="EN12" s="261">
        <v>27385514.335999999</v>
      </c>
      <c r="EO12" s="262">
        <v>0.33736828929499901</v>
      </c>
      <c r="EP12" s="261">
        <v>0</v>
      </c>
      <c r="EQ12" s="261">
        <v>0</v>
      </c>
      <c r="ER12" s="262">
        <v>0</v>
      </c>
      <c r="ES12" s="261">
        <v>0</v>
      </c>
      <c r="ET12" s="261">
        <v>0</v>
      </c>
      <c r="EU12" s="262">
        <v>0</v>
      </c>
      <c r="EV12" s="261">
        <v>0</v>
      </c>
      <c r="EW12" s="261">
        <v>0</v>
      </c>
      <c r="EX12" s="262">
        <v>0</v>
      </c>
      <c r="EY12" s="261">
        <v>0</v>
      </c>
      <c r="EZ12" s="261">
        <v>0</v>
      </c>
      <c r="FA12" s="262">
        <v>0</v>
      </c>
      <c r="FB12" s="261">
        <v>0</v>
      </c>
      <c r="FC12" s="261">
        <v>0</v>
      </c>
      <c r="FD12" s="262">
        <v>0</v>
      </c>
      <c r="FE12" s="261">
        <v>0</v>
      </c>
      <c r="FF12" s="261">
        <v>0</v>
      </c>
      <c r="FG12" s="262">
        <v>0</v>
      </c>
      <c r="FH12" s="261">
        <v>274829.82799999998</v>
      </c>
      <c r="FI12" s="261">
        <v>246117.44899999999</v>
      </c>
      <c r="FJ12" s="262">
        <v>0.116661289626807</v>
      </c>
      <c r="FK12" s="261">
        <v>2370742.7880000002</v>
      </c>
      <c r="FL12" s="261">
        <v>2163101.7510000002</v>
      </c>
      <c r="FM12" s="262">
        <v>9.5992265229320695E-2</v>
      </c>
      <c r="FN12" s="261">
        <v>3120356.895</v>
      </c>
      <c r="FO12" s="261">
        <v>2872970.0129999998</v>
      </c>
      <c r="FP12" s="262">
        <v>8.6108410766764301E-2</v>
      </c>
      <c r="FQ12" s="261">
        <v>307601.88</v>
      </c>
      <c r="FR12" s="261">
        <v>296235.93199999997</v>
      </c>
      <c r="FS12" s="262">
        <v>3.8367891171284502E-2</v>
      </c>
      <c r="FT12" s="261">
        <v>2750870.6439999999</v>
      </c>
      <c r="FU12" s="261">
        <v>2611220.767</v>
      </c>
      <c r="FV12" s="262">
        <v>5.3480685648974E-2</v>
      </c>
      <c r="FW12" s="261">
        <v>3875192.5189999999</v>
      </c>
      <c r="FX12" s="261">
        <v>3664033.037</v>
      </c>
      <c r="FY12" s="263">
        <v>5.7630343358718999E-2</v>
      </c>
      <c r="FZ12" s="261">
        <v>4581486.9110000003</v>
      </c>
      <c r="GA12" s="261">
        <v>2264896.2990000001</v>
      </c>
      <c r="GB12" s="262">
        <v>1.02282414123014</v>
      </c>
      <c r="GC12" s="261">
        <v>30919256.945</v>
      </c>
      <c r="GD12" s="261">
        <v>21084871.796</v>
      </c>
      <c r="GE12" s="262">
        <v>0.46641901568809502</v>
      </c>
      <c r="GF12" s="261">
        <v>38941109.071000002</v>
      </c>
      <c r="GG12" s="261">
        <v>26142289.638</v>
      </c>
      <c r="GH12" s="262">
        <v>0.48958295582479699</v>
      </c>
      <c r="GI12" s="261">
        <v>0</v>
      </c>
      <c r="GJ12" s="261">
        <v>0</v>
      </c>
      <c r="GK12" s="262">
        <v>0</v>
      </c>
      <c r="GL12" s="261">
        <v>0</v>
      </c>
      <c r="GM12" s="261">
        <v>0</v>
      </c>
      <c r="GN12" s="262">
        <v>0</v>
      </c>
      <c r="GO12" s="261">
        <v>0</v>
      </c>
      <c r="GP12" s="261">
        <v>0</v>
      </c>
      <c r="GQ12" s="262">
        <v>0</v>
      </c>
      <c r="GR12" s="261">
        <v>0</v>
      </c>
      <c r="GS12" s="261">
        <v>0</v>
      </c>
      <c r="GT12" s="262">
        <v>0</v>
      </c>
      <c r="GU12" s="261">
        <v>0</v>
      </c>
      <c r="GV12" s="261">
        <v>0</v>
      </c>
      <c r="GW12" s="262">
        <v>0</v>
      </c>
      <c r="GX12" s="261">
        <v>0</v>
      </c>
      <c r="GY12" s="261">
        <v>0</v>
      </c>
      <c r="GZ12" s="262">
        <v>0</v>
      </c>
      <c r="HA12" s="261">
        <v>257021.049</v>
      </c>
      <c r="HB12" s="261">
        <v>233646.73300000001</v>
      </c>
      <c r="HC12" s="262">
        <v>0.10004127042512501</v>
      </c>
      <c r="HD12" s="261">
        <v>2627763.8369999998</v>
      </c>
      <c r="HE12" s="261">
        <v>2396748.4840000002</v>
      </c>
      <c r="HF12" s="262">
        <v>9.6386982005909796E-2</v>
      </c>
      <c r="HG12" s="261">
        <v>3143731.2110000001</v>
      </c>
      <c r="HH12" s="261">
        <v>2858421.003</v>
      </c>
      <c r="HI12" s="262">
        <v>9.9813920937664002E-2</v>
      </c>
      <c r="HJ12" s="261">
        <v>357474.49</v>
      </c>
      <c r="HK12" s="261">
        <v>354842.10700000002</v>
      </c>
      <c r="HL12" s="262">
        <v>7.4184628827039696E-3</v>
      </c>
      <c r="HM12" s="261">
        <v>3108345.1340000001</v>
      </c>
      <c r="HN12" s="261">
        <v>2966062.8739999998</v>
      </c>
      <c r="HO12" s="262">
        <v>4.7970075498811E-2</v>
      </c>
      <c r="HP12" s="261">
        <v>3877824.9019999998</v>
      </c>
      <c r="HQ12" s="261">
        <v>3632510.662</v>
      </c>
      <c r="HR12" s="263">
        <v>6.7532971772458303E-2</v>
      </c>
      <c r="HS12" s="261">
        <v>3588477.5729999999</v>
      </c>
      <c r="HT12" s="261">
        <v>3505587.4279999998</v>
      </c>
      <c r="HU12" s="262">
        <v>2.3645151262791399E-2</v>
      </c>
      <c r="HV12" s="261">
        <v>34507734.517999999</v>
      </c>
      <c r="HW12" s="261">
        <v>24590459.223999999</v>
      </c>
      <c r="HX12" s="262">
        <v>0.40329768564553098</v>
      </c>
      <c r="HY12" s="261">
        <v>39023999.215999998</v>
      </c>
      <c r="HZ12" s="261">
        <v>27261252.82</v>
      </c>
      <c r="IA12" s="262">
        <v>0.43148223868018099</v>
      </c>
      <c r="IB12" s="261">
        <v>0</v>
      </c>
      <c r="IC12" s="261">
        <v>0</v>
      </c>
      <c r="ID12" s="262">
        <v>0</v>
      </c>
      <c r="IE12" s="261">
        <v>0</v>
      </c>
      <c r="IF12" s="261">
        <v>0</v>
      </c>
      <c r="IG12" s="262">
        <v>0</v>
      </c>
      <c r="IH12" s="261">
        <v>0</v>
      </c>
      <c r="II12" s="261">
        <v>0</v>
      </c>
      <c r="IJ12" s="262">
        <v>0</v>
      </c>
      <c r="IK12" s="261">
        <v>0</v>
      </c>
      <c r="IL12" s="261">
        <v>0</v>
      </c>
      <c r="IM12" s="262">
        <v>0</v>
      </c>
      <c r="IN12" s="261">
        <v>0</v>
      </c>
      <c r="IO12" s="261">
        <v>0</v>
      </c>
      <c r="IP12" s="262">
        <v>0</v>
      </c>
      <c r="IQ12" s="261">
        <v>0</v>
      </c>
      <c r="IR12" s="261">
        <v>0</v>
      </c>
      <c r="IS12" s="262">
        <v>0</v>
      </c>
      <c r="IT12" s="261">
        <v>234209.41099999999</v>
      </c>
      <c r="IU12" s="261">
        <v>228355.13399999999</v>
      </c>
      <c r="IV12" s="262">
        <v>2.56367216162523E-2</v>
      </c>
      <c r="IW12" s="261">
        <v>2861973.2480000001</v>
      </c>
      <c r="IX12" s="261">
        <v>2625103.6179999998</v>
      </c>
      <c r="IY12" s="262">
        <v>9.0232487729556901E-2</v>
      </c>
      <c r="IZ12" s="261">
        <v>3149585.4879999999</v>
      </c>
      <c r="JA12" s="261">
        <v>2860567.7489999998</v>
      </c>
      <c r="JB12" s="262">
        <v>0.101035096652067</v>
      </c>
      <c r="JC12" s="261">
        <v>343636.77799999999</v>
      </c>
      <c r="JD12" s="261">
        <v>391606.554</v>
      </c>
      <c r="JE12" s="262">
        <v>-0.122494824231159</v>
      </c>
      <c r="JF12" s="261">
        <v>3451981.912</v>
      </c>
      <c r="JG12" s="261">
        <v>3357669.4279999998</v>
      </c>
      <c r="JH12" s="262">
        <v>2.8088674606713E-2</v>
      </c>
      <c r="JI12" s="261">
        <v>3829855.1260000002</v>
      </c>
      <c r="JJ12" s="261">
        <v>3702562.2790000001</v>
      </c>
      <c r="JK12" s="263">
        <v>3.4379663975396997E-2</v>
      </c>
      <c r="JL12" s="261">
        <v>4302735.3250000002</v>
      </c>
      <c r="JM12" s="261">
        <v>4516264.6979999999</v>
      </c>
      <c r="JN12" s="262">
        <v>-4.7280083714880503E-2</v>
      </c>
      <c r="JO12" s="261">
        <v>38810469.843000002</v>
      </c>
      <c r="JP12" s="261">
        <v>29106723.921999998</v>
      </c>
      <c r="JQ12" s="262">
        <v>0.33338502632601402</v>
      </c>
      <c r="JR12" s="261">
        <v>38810469.843000002</v>
      </c>
      <c r="JS12" s="261">
        <v>29106723.921999998</v>
      </c>
      <c r="JT12" s="262">
        <v>0.33338502632601402</v>
      </c>
      <c r="JU12" s="261">
        <v>0</v>
      </c>
      <c r="JV12" s="261">
        <v>0</v>
      </c>
      <c r="JW12" s="262">
        <v>0</v>
      </c>
      <c r="JX12" s="261">
        <v>0</v>
      </c>
      <c r="JY12" s="261">
        <v>0</v>
      </c>
      <c r="JZ12" s="262">
        <v>0</v>
      </c>
      <c r="KA12" s="261">
        <v>0</v>
      </c>
      <c r="KB12" s="261">
        <v>0</v>
      </c>
      <c r="KC12" s="262">
        <v>0</v>
      </c>
      <c r="KD12" s="261">
        <v>0</v>
      </c>
      <c r="KE12" s="261">
        <v>0</v>
      </c>
      <c r="KF12" s="262">
        <v>0</v>
      </c>
      <c r="KG12" s="261">
        <v>0</v>
      </c>
      <c r="KH12" s="261">
        <v>0</v>
      </c>
      <c r="KI12" s="262">
        <v>0</v>
      </c>
      <c r="KJ12" s="261">
        <v>0</v>
      </c>
      <c r="KK12" s="261">
        <v>0</v>
      </c>
      <c r="KL12" s="262">
        <v>0</v>
      </c>
      <c r="KM12" s="261">
        <v>265032.152</v>
      </c>
      <c r="KN12" s="261">
        <v>287612.24</v>
      </c>
      <c r="KO12" s="262">
        <v>-7.8508786691414797E-2</v>
      </c>
      <c r="KP12" s="261">
        <v>3127005.4</v>
      </c>
      <c r="KQ12" s="261">
        <v>2912715.858</v>
      </c>
      <c r="KR12" s="262">
        <v>7.3570355794039102E-2</v>
      </c>
      <c r="KS12" s="261">
        <v>3127005.4</v>
      </c>
      <c r="KT12" s="261">
        <v>2912715.858</v>
      </c>
      <c r="KU12" s="262">
        <v>7.3570355794039102E-2</v>
      </c>
      <c r="KV12" s="261">
        <v>344068.25099999999</v>
      </c>
      <c r="KW12" s="261">
        <v>377873.21399999998</v>
      </c>
      <c r="KX12" s="262">
        <v>-8.9461125445107606E-2</v>
      </c>
      <c r="KY12" s="261">
        <v>3796050.1630000002</v>
      </c>
      <c r="KZ12" s="261">
        <v>3735542.642</v>
      </c>
      <c r="LA12" s="262">
        <v>1.61977861849824E-2</v>
      </c>
      <c r="LB12" s="261">
        <v>3796050.1630000002</v>
      </c>
      <c r="LC12" s="261">
        <v>3735542.642</v>
      </c>
      <c r="LD12" s="263">
        <v>1.61977861849824E-2</v>
      </c>
      <c r="LE12" s="261">
        <v>3511798.3130000001</v>
      </c>
      <c r="LF12" s="261">
        <v>2796387.1949999998</v>
      </c>
      <c r="LG12" s="262">
        <v>0.25583407021716098</v>
      </c>
      <c r="LH12" s="261">
        <v>3511798.3130000001</v>
      </c>
      <c r="LI12" s="261">
        <v>2796387.1949999998</v>
      </c>
      <c r="LJ12" s="262">
        <v>0.25583407021716098</v>
      </c>
      <c r="LK12" s="261">
        <v>39525880.961000003</v>
      </c>
      <c r="LL12" s="261">
        <v>29090928.245999999</v>
      </c>
      <c r="LM12" s="262">
        <v>0.35870126338903602</v>
      </c>
      <c r="LN12" s="261">
        <v>0</v>
      </c>
      <c r="LO12" s="261">
        <v>0</v>
      </c>
      <c r="LP12" s="262">
        <v>0</v>
      </c>
      <c r="LQ12" s="261">
        <v>0</v>
      </c>
      <c r="LR12" s="261">
        <v>0</v>
      </c>
      <c r="LS12" s="262">
        <v>0</v>
      </c>
      <c r="LT12" s="261">
        <v>0</v>
      </c>
      <c r="LU12" s="261">
        <v>0</v>
      </c>
      <c r="LV12" s="262">
        <v>0</v>
      </c>
      <c r="LW12" s="261">
        <v>0</v>
      </c>
      <c r="LX12" s="261">
        <v>0</v>
      </c>
      <c r="LY12" s="262">
        <v>0</v>
      </c>
      <c r="LZ12" s="261">
        <v>0</v>
      </c>
      <c r="MA12" s="261">
        <v>0</v>
      </c>
      <c r="MB12" s="262">
        <v>0</v>
      </c>
      <c r="MC12" s="261">
        <v>0</v>
      </c>
      <c r="MD12" s="261">
        <v>0</v>
      </c>
      <c r="ME12" s="262">
        <v>0</v>
      </c>
      <c r="MF12" s="261">
        <v>271908.36200000002</v>
      </c>
      <c r="MG12" s="261">
        <v>284762.47399999999</v>
      </c>
      <c r="MH12" s="262">
        <v>-4.5139767959734602E-2</v>
      </c>
      <c r="MI12" s="261">
        <v>271908.36200000002</v>
      </c>
      <c r="MJ12" s="261">
        <v>284762.47399999999</v>
      </c>
      <c r="MK12" s="262">
        <v>-4.5139767959734602E-2</v>
      </c>
      <c r="ML12" s="261">
        <v>3114151.2880000002</v>
      </c>
      <c r="MM12" s="261">
        <v>2951818.2990000001</v>
      </c>
      <c r="MN12" s="262">
        <v>5.4994234928008402E-2</v>
      </c>
      <c r="MO12" s="261">
        <v>331933.50300000003</v>
      </c>
      <c r="MP12" s="261">
        <v>342565.68199999997</v>
      </c>
      <c r="MQ12" s="262">
        <v>-3.1036906376395099E-2</v>
      </c>
      <c r="MR12" s="261">
        <v>331933.50300000003</v>
      </c>
      <c r="MS12" s="261">
        <v>342565.68199999997</v>
      </c>
      <c r="MT12" s="262">
        <v>-3.1036906376395099E-2</v>
      </c>
      <c r="MU12" s="261">
        <v>3785417.9840000002</v>
      </c>
      <c r="MV12" s="261">
        <v>3728481.5720000002</v>
      </c>
      <c r="MW12" s="263">
        <v>1.52706700839234E-2</v>
      </c>
      <c r="MX12" s="261">
        <v>2253764.0290000001</v>
      </c>
      <c r="MY12" s="261">
        <v>2601070.8509999998</v>
      </c>
      <c r="MZ12" s="262">
        <v>-0.13352455273045499</v>
      </c>
      <c r="NA12" s="261">
        <v>5765562.3420000002</v>
      </c>
      <c r="NB12" s="261">
        <v>5397458.0460000001</v>
      </c>
      <c r="NC12" s="262">
        <v>6.8199565955458993E-2</v>
      </c>
      <c r="ND12" s="261">
        <v>39178574.138999999</v>
      </c>
      <c r="NE12" s="261">
        <v>30062274.34</v>
      </c>
      <c r="NF12" s="262">
        <v>0.30324717604183798</v>
      </c>
      <c r="NG12" s="261">
        <v>0</v>
      </c>
      <c r="NH12" s="261">
        <v>0</v>
      </c>
      <c r="NI12" s="262">
        <v>0</v>
      </c>
      <c r="NJ12" s="261">
        <v>0</v>
      </c>
      <c r="NK12" s="261">
        <v>0</v>
      </c>
      <c r="NL12" s="262">
        <v>0</v>
      </c>
      <c r="NM12" s="261">
        <v>0</v>
      </c>
      <c r="NN12" s="261">
        <v>0</v>
      </c>
      <c r="NO12" s="262">
        <v>0</v>
      </c>
      <c r="NP12" s="261">
        <v>0</v>
      </c>
      <c r="NQ12" s="261">
        <v>0</v>
      </c>
      <c r="NR12" s="262">
        <v>0</v>
      </c>
      <c r="NS12" s="261">
        <v>0</v>
      </c>
      <c r="NT12" s="261">
        <v>0</v>
      </c>
      <c r="NU12" s="262">
        <v>0</v>
      </c>
      <c r="NV12" s="261">
        <v>0</v>
      </c>
      <c r="NW12" s="261">
        <v>0</v>
      </c>
      <c r="NX12" s="262">
        <v>0</v>
      </c>
      <c r="NY12" s="261">
        <v>219728.98300000001</v>
      </c>
      <c r="NZ12" s="261">
        <v>188665.80600000001</v>
      </c>
      <c r="OA12" s="262">
        <v>0.16464656557850199</v>
      </c>
      <c r="OB12" s="261">
        <v>491637.34499999997</v>
      </c>
      <c r="OC12" s="261">
        <v>473428.28</v>
      </c>
      <c r="OD12" s="262">
        <v>3.84621404534599E-2</v>
      </c>
      <c r="OE12" s="261">
        <v>3145214.4649999999</v>
      </c>
      <c r="OF12" s="261">
        <v>2920717.023</v>
      </c>
      <c r="OG12" s="262">
        <v>7.6863811260088594E-2</v>
      </c>
      <c r="OH12" s="261">
        <v>287056.435</v>
      </c>
      <c r="OI12" s="261">
        <v>249835.34599999999</v>
      </c>
      <c r="OJ12" s="262">
        <v>0.14898247824389099</v>
      </c>
      <c r="OK12" s="261">
        <v>618989.93799999997</v>
      </c>
      <c r="OL12" s="261">
        <v>592401.02800000005</v>
      </c>
      <c r="OM12" s="262">
        <v>4.4883294834525397E-2</v>
      </c>
      <c r="ON12" s="261">
        <v>3822639.0729999999</v>
      </c>
      <c r="OO12" s="261">
        <v>3694831.574</v>
      </c>
      <c r="OP12" s="263">
        <v>3.4590886334133E-2</v>
      </c>
      <c r="OQ12" s="261">
        <v>2784937.3480000002</v>
      </c>
      <c r="OR12" s="261">
        <v>1974693.247</v>
      </c>
      <c r="OS12" s="262">
        <v>0.41031390684651498</v>
      </c>
      <c r="OT12" s="261">
        <v>8550499.6899999995</v>
      </c>
      <c r="OU12" s="261">
        <v>7372151.2929999996</v>
      </c>
      <c r="OV12" s="262">
        <v>0.15983779363275699</v>
      </c>
      <c r="OW12" s="261">
        <v>39988818.240000002</v>
      </c>
      <c r="OX12" s="261">
        <v>30335037.864999998</v>
      </c>
      <c r="OY12" s="262">
        <v>0.31823861298483402</v>
      </c>
      <c r="OZ12" s="261">
        <v>0</v>
      </c>
      <c r="PA12" s="261">
        <v>0</v>
      </c>
      <c r="PB12" s="262">
        <v>0</v>
      </c>
      <c r="PC12" s="261">
        <v>0</v>
      </c>
      <c r="PD12" s="261">
        <v>0</v>
      </c>
      <c r="PE12" s="262">
        <v>0</v>
      </c>
      <c r="PF12" s="261">
        <v>0</v>
      </c>
      <c r="PG12" s="261">
        <v>0</v>
      </c>
      <c r="PH12" s="262">
        <v>0</v>
      </c>
      <c r="PI12" s="261">
        <v>0</v>
      </c>
      <c r="PJ12" s="261">
        <v>0</v>
      </c>
      <c r="PK12" s="262">
        <v>0</v>
      </c>
      <c r="PL12" s="261">
        <v>0</v>
      </c>
      <c r="PM12" s="261">
        <v>0</v>
      </c>
      <c r="PN12" s="262">
        <v>0</v>
      </c>
      <c r="PO12" s="261">
        <v>0</v>
      </c>
      <c r="PP12" s="261">
        <v>0</v>
      </c>
      <c r="PQ12" s="262">
        <v>0</v>
      </c>
      <c r="PR12" s="261">
        <v>263669.84999999998</v>
      </c>
      <c r="PS12" s="261">
        <v>223336.81299999999</v>
      </c>
      <c r="PT12" s="262">
        <v>0.18059287431490301</v>
      </c>
      <c r="PU12" s="261">
        <v>755307.19499999995</v>
      </c>
      <c r="PV12" s="261">
        <v>696765.09299999999</v>
      </c>
      <c r="PW12" s="262">
        <v>8.4019854880990702E-2</v>
      </c>
      <c r="PX12" s="261">
        <v>3185547.5019999999</v>
      </c>
      <c r="PY12" s="261">
        <v>2929369.8739999998</v>
      </c>
      <c r="PZ12" s="262">
        <v>8.7451444856362304E-2</v>
      </c>
      <c r="QA12" s="261">
        <v>282068.47600000002</v>
      </c>
      <c r="QB12" s="261">
        <v>290372.00900000002</v>
      </c>
      <c r="QC12" s="262">
        <v>-2.8596189517702399E-2</v>
      </c>
      <c r="QD12" s="261">
        <v>901058.41399999999</v>
      </c>
      <c r="QE12" s="261">
        <v>882773.03700000001</v>
      </c>
      <c r="QF12" s="262">
        <v>2.0713565360062101E-2</v>
      </c>
      <c r="QG12" s="261">
        <v>3814335.54</v>
      </c>
      <c r="QH12" s="261">
        <v>3677825.24</v>
      </c>
      <c r="QI12" s="263">
        <v>3.7117125228060002E-2</v>
      </c>
      <c r="QJ12" s="261">
        <v>2318334.5260000001</v>
      </c>
      <c r="QK12" s="261">
        <v>2023704.88</v>
      </c>
      <c r="QL12" s="262">
        <v>0.14558923532368001</v>
      </c>
      <c r="QM12" s="261">
        <v>10868834.216</v>
      </c>
      <c r="QN12" s="261">
        <v>9395856.1730000004</v>
      </c>
      <c r="QO12" s="262">
        <v>0.15676890065992699</v>
      </c>
      <c r="QP12" s="261">
        <v>40283447.886</v>
      </c>
      <c r="QQ12" s="261">
        <v>30823395.789999999</v>
      </c>
      <c r="QR12" s="262">
        <v>0.30691141756253598</v>
      </c>
      <c r="QS12" s="261">
        <v>0</v>
      </c>
      <c r="QT12" s="261">
        <v>0</v>
      </c>
      <c r="QU12" s="262">
        <v>0</v>
      </c>
      <c r="QV12" s="261">
        <v>0</v>
      </c>
      <c r="QW12" s="261">
        <v>0</v>
      </c>
      <c r="QX12" s="262">
        <v>0</v>
      </c>
      <c r="QY12" s="261">
        <v>0</v>
      </c>
      <c r="QZ12" s="261">
        <v>0</v>
      </c>
      <c r="RA12" s="262">
        <v>0</v>
      </c>
      <c r="RB12" s="261">
        <v>0</v>
      </c>
      <c r="RC12" s="261">
        <v>0</v>
      </c>
      <c r="RD12" s="262">
        <v>0</v>
      </c>
      <c r="RE12" s="261">
        <v>0</v>
      </c>
      <c r="RF12" s="261">
        <v>0</v>
      </c>
      <c r="RG12" s="262">
        <v>0</v>
      </c>
      <c r="RH12" s="261">
        <v>0</v>
      </c>
      <c r="RI12" s="261">
        <v>0</v>
      </c>
      <c r="RJ12" s="262">
        <v>0</v>
      </c>
      <c r="RK12" s="261">
        <v>217826.639</v>
      </c>
      <c r="RL12" s="261">
        <v>226590.076</v>
      </c>
      <c r="RM12" s="262">
        <v>-3.8675290439463099E-2</v>
      </c>
      <c r="RN12" s="261">
        <v>973133.83400000003</v>
      </c>
      <c r="RO12" s="261">
        <v>923355.16899999999</v>
      </c>
      <c r="RP12" s="262">
        <v>5.3910636633908403E-2</v>
      </c>
      <c r="RQ12" s="261">
        <v>3176784.0649999999</v>
      </c>
      <c r="RR12" s="261">
        <v>2949355.2519999999</v>
      </c>
      <c r="RS12" s="262">
        <v>7.7111366237002904E-2</v>
      </c>
      <c r="RT12" s="261">
        <v>284691.47200000001</v>
      </c>
      <c r="RU12" s="261">
        <v>290702.50900000002</v>
      </c>
      <c r="RV12" s="262">
        <v>-2.06776233912725E-2</v>
      </c>
      <c r="RW12" s="261">
        <v>1185749.8859999999</v>
      </c>
      <c r="RX12" s="261">
        <v>1173475.5460000001</v>
      </c>
      <c r="RY12" s="262">
        <v>1.0459817455795399E-2</v>
      </c>
      <c r="RZ12" s="261">
        <v>3808324.503</v>
      </c>
      <c r="SA12" s="261">
        <v>3652416.8829999999</v>
      </c>
      <c r="SB12" s="263">
        <v>4.2686151388047898E-2</v>
      </c>
      <c r="SC12" s="261">
        <v>2561018.8590000002</v>
      </c>
      <c r="SD12" s="261">
        <v>2692351.0759999999</v>
      </c>
      <c r="SE12" s="262">
        <v>-4.8779751708725401E-2</v>
      </c>
      <c r="SF12" s="261">
        <v>13429853.074999999</v>
      </c>
      <c r="SG12" s="261">
        <v>12088207.249</v>
      </c>
      <c r="SH12" s="262">
        <v>0.110987990060394</v>
      </c>
      <c r="SI12" s="261">
        <v>40152115.669</v>
      </c>
      <c r="SJ12" s="261">
        <v>31985948.947000001</v>
      </c>
      <c r="SK12" s="262">
        <v>0.25530481323318399</v>
      </c>
      <c r="SL12" s="261">
        <v>0</v>
      </c>
      <c r="SM12" s="261">
        <v>0</v>
      </c>
      <c r="SN12" s="262">
        <v>0</v>
      </c>
      <c r="SO12" s="261">
        <v>0</v>
      </c>
      <c r="SP12" s="261">
        <v>0</v>
      </c>
      <c r="SQ12" s="262">
        <v>0</v>
      </c>
      <c r="SR12" s="261">
        <v>0</v>
      </c>
      <c r="SS12" s="261">
        <v>0</v>
      </c>
      <c r="ST12" s="262">
        <v>0</v>
      </c>
      <c r="SU12" s="261">
        <v>0</v>
      </c>
      <c r="SV12" s="261">
        <v>0</v>
      </c>
      <c r="SW12" s="262">
        <v>0</v>
      </c>
      <c r="SX12" s="261">
        <v>0</v>
      </c>
      <c r="SY12" s="261">
        <v>0</v>
      </c>
      <c r="SZ12" s="262">
        <v>0</v>
      </c>
      <c r="TA12" s="261">
        <v>0</v>
      </c>
      <c r="TB12" s="261">
        <v>0</v>
      </c>
      <c r="TC12" s="262">
        <v>0</v>
      </c>
      <c r="TD12" s="261">
        <v>237472.40299999999</v>
      </c>
      <c r="TE12" s="261">
        <v>244740.23199999999</v>
      </c>
      <c r="TF12" s="262">
        <v>-2.9696094265367901E-2</v>
      </c>
      <c r="TG12" s="261">
        <v>1210606.237</v>
      </c>
      <c r="TH12" s="261">
        <v>1168095.4010000001</v>
      </c>
      <c r="TI12" s="262">
        <v>3.6393291133246998E-2</v>
      </c>
      <c r="TJ12" s="261">
        <v>3169516.236</v>
      </c>
      <c r="TK12" s="261">
        <v>2986189.4240000001</v>
      </c>
      <c r="TL12" s="262">
        <v>6.1391554911621703E-2</v>
      </c>
      <c r="TM12" s="261">
        <v>302071.58100000001</v>
      </c>
      <c r="TN12" s="261">
        <v>328892.33899999998</v>
      </c>
      <c r="TO12" s="262">
        <v>-8.1548746564145305E-2</v>
      </c>
      <c r="TP12" s="261">
        <v>1487821.4669999999</v>
      </c>
      <c r="TQ12" s="261">
        <v>1502367.885</v>
      </c>
      <c r="TR12" s="262">
        <v>-9.6823275745141907E-3</v>
      </c>
      <c r="TS12" s="261">
        <v>3781503.7450000001</v>
      </c>
      <c r="TT12" s="261">
        <v>3719980.4219999998</v>
      </c>
      <c r="TU12" s="263">
        <v>1.6538614729300901E-2</v>
      </c>
      <c r="TV12" s="261">
        <v>3233620.5610000002</v>
      </c>
      <c r="TW12" s="261">
        <v>3981030.0649999999</v>
      </c>
      <c r="TX12" s="262">
        <v>-0.18774274290741899</v>
      </c>
      <c r="TY12" s="261">
        <v>16663473.636</v>
      </c>
      <c r="TZ12" s="261">
        <v>16069237.313999999</v>
      </c>
      <c r="UA12" s="262">
        <v>3.6979746480082398E-2</v>
      </c>
      <c r="UB12" s="261">
        <v>39404706.164999999</v>
      </c>
      <c r="UC12" s="261">
        <v>34331933.916000001</v>
      </c>
      <c r="UD12" s="262">
        <v>0.14775667055085101</v>
      </c>
      <c r="UE12" s="261">
        <v>0</v>
      </c>
      <c r="UF12" s="261">
        <v>0</v>
      </c>
      <c r="UG12" s="262">
        <v>0</v>
      </c>
      <c r="UH12" s="261">
        <v>0</v>
      </c>
      <c r="UI12" s="261">
        <v>0</v>
      </c>
      <c r="UJ12" s="262">
        <v>0</v>
      </c>
      <c r="UK12" s="261">
        <v>0</v>
      </c>
      <c r="UL12" s="261">
        <v>0</v>
      </c>
      <c r="UM12" s="262">
        <v>0</v>
      </c>
      <c r="UN12" s="261">
        <v>0</v>
      </c>
      <c r="UO12" s="261">
        <v>0</v>
      </c>
      <c r="UP12" s="262">
        <v>0</v>
      </c>
      <c r="UQ12" s="261">
        <v>0</v>
      </c>
      <c r="UR12" s="261">
        <v>0</v>
      </c>
      <c r="US12" s="262">
        <v>0</v>
      </c>
      <c r="UT12" s="261">
        <v>0</v>
      </c>
      <c r="UU12" s="261">
        <v>0</v>
      </c>
      <c r="UV12" s="262">
        <v>0</v>
      </c>
      <c r="UW12" s="261">
        <v>278438.38</v>
      </c>
      <c r="UX12" s="261">
        <v>274475.86300000001</v>
      </c>
      <c r="UY12" s="262">
        <v>1.44366683346579E-2</v>
      </c>
      <c r="UZ12" s="261">
        <v>1489044.6170000001</v>
      </c>
      <c r="VA12" s="261">
        <v>1442571.264</v>
      </c>
      <c r="VB12" s="262">
        <v>3.2215637563122901E-2</v>
      </c>
      <c r="VC12" s="261">
        <v>3173478.753</v>
      </c>
      <c r="VD12" s="261">
        <v>3046974.1549999998</v>
      </c>
      <c r="VE12" s="262">
        <v>4.1518106673930799E-2</v>
      </c>
      <c r="VF12" s="261">
        <v>285737.19699999999</v>
      </c>
      <c r="VG12" s="261">
        <v>284166.90399999998</v>
      </c>
      <c r="VH12" s="262">
        <v>5.5259531560367999E-3</v>
      </c>
      <c r="VI12" s="261">
        <v>1773558.6640000001</v>
      </c>
      <c r="VJ12" s="261">
        <v>1786534.7890000001</v>
      </c>
      <c r="VK12" s="262">
        <v>-7.26329264892921E-3</v>
      </c>
      <c r="VL12" s="261">
        <v>3783074.0380000002</v>
      </c>
      <c r="VM12" s="261">
        <v>3732978.27</v>
      </c>
      <c r="VN12" s="263">
        <v>1.34197855911977E-2</v>
      </c>
    </row>
    <row r="13" spans="1:586">
      <c r="A13" s="267" t="s">
        <v>136</v>
      </c>
      <c r="B13" s="261">
        <v>0</v>
      </c>
      <c r="C13" s="261">
        <v>0</v>
      </c>
      <c r="D13" s="262">
        <v>0</v>
      </c>
      <c r="E13" s="261">
        <v>0</v>
      </c>
      <c r="F13" s="261">
        <v>0</v>
      </c>
      <c r="G13" s="262">
        <v>0</v>
      </c>
      <c r="H13" s="261">
        <v>0</v>
      </c>
      <c r="I13" s="261">
        <v>0</v>
      </c>
      <c r="J13" s="262">
        <v>0</v>
      </c>
      <c r="K13" s="261">
        <v>0</v>
      </c>
      <c r="L13" s="261">
        <v>0</v>
      </c>
      <c r="M13" s="262">
        <v>0</v>
      </c>
      <c r="N13" s="261">
        <v>0</v>
      </c>
      <c r="O13" s="261">
        <v>0</v>
      </c>
      <c r="P13" s="262">
        <v>0</v>
      </c>
      <c r="Q13" s="261">
        <v>0</v>
      </c>
      <c r="R13" s="261">
        <v>0</v>
      </c>
      <c r="S13" s="262">
        <v>0</v>
      </c>
      <c r="T13" s="261">
        <v>0</v>
      </c>
      <c r="U13" s="261">
        <v>0</v>
      </c>
      <c r="V13" s="262">
        <v>0</v>
      </c>
      <c r="W13" s="261">
        <v>0</v>
      </c>
      <c r="X13" s="261">
        <v>0</v>
      </c>
      <c r="Y13" s="262">
        <v>0</v>
      </c>
      <c r="Z13" s="261">
        <v>0</v>
      </c>
      <c r="AA13" s="261">
        <v>0</v>
      </c>
      <c r="AB13" s="262">
        <v>0</v>
      </c>
      <c r="AC13" s="261">
        <v>0</v>
      </c>
      <c r="AD13" s="261">
        <v>0</v>
      </c>
      <c r="AE13" s="262">
        <v>0</v>
      </c>
      <c r="AF13" s="261">
        <v>0</v>
      </c>
      <c r="AG13" s="261">
        <v>0</v>
      </c>
      <c r="AH13" s="262">
        <v>0</v>
      </c>
      <c r="AI13" s="261">
        <v>0</v>
      </c>
      <c r="AJ13" s="261">
        <v>0</v>
      </c>
      <c r="AK13" s="262">
        <v>0</v>
      </c>
      <c r="AL13" s="261">
        <v>0</v>
      </c>
      <c r="AM13" s="261">
        <v>0</v>
      </c>
      <c r="AN13" s="262">
        <v>0</v>
      </c>
      <c r="AO13" s="261">
        <v>0</v>
      </c>
      <c r="AP13" s="261">
        <v>0</v>
      </c>
      <c r="AQ13" s="262">
        <v>0</v>
      </c>
      <c r="AR13" s="261">
        <v>0</v>
      </c>
      <c r="AS13" s="261">
        <v>0</v>
      </c>
      <c r="AT13" s="263">
        <v>0</v>
      </c>
      <c r="AU13" s="261">
        <v>0</v>
      </c>
      <c r="AV13" s="261">
        <v>0</v>
      </c>
      <c r="AW13" s="262">
        <v>0</v>
      </c>
      <c r="AX13" s="261">
        <v>0</v>
      </c>
      <c r="AY13" s="261">
        <v>0</v>
      </c>
      <c r="AZ13" s="262">
        <v>0</v>
      </c>
      <c r="BA13" s="261">
        <v>0</v>
      </c>
      <c r="BB13" s="261">
        <v>0</v>
      </c>
      <c r="BC13" s="262">
        <v>0</v>
      </c>
      <c r="BD13" s="261">
        <v>0</v>
      </c>
      <c r="BE13" s="261">
        <v>0</v>
      </c>
      <c r="BF13" s="262">
        <v>0</v>
      </c>
      <c r="BG13" s="261">
        <v>0</v>
      </c>
      <c r="BH13" s="261">
        <v>0</v>
      </c>
      <c r="BI13" s="262">
        <v>0</v>
      </c>
      <c r="BJ13" s="261">
        <v>0</v>
      </c>
      <c r="BK13" s="261">
        <v>0</v>
      </c>
      <c r="BL13" s="262">
        <v>0</v>
      </c>
      <c r="BM13" s="261">
        <v>0</v>
      </c>
      <c r="BN13" s="261">
        <v>0</v>
      </c>
      <c r="BO13" s="262">
        <v>0</v>
      </c>
      <c r="BP13" s="261">
        <v>0</v>
      </c>
      <c r="BQ13" s="261">
        <v>0</v>
      </c>
      <c r="BR13" s="262">
        <v>0</v>
      </c>
      <c r="BS13" s="261">
        <v>0</v>
      </c>
      <c r="BT13" s="261">
        <v>0</v>
      </c>
      <c r="BU13" s="262">
        <v>0</v>
      </c>
      <c r="BV13" s="261">
        <v>0</v>
      </c>
      <c r="BW13" s="261">
        <v>0</v>
      </c>
      <c r="BX13" s="262">
        <v>0</v>
      </c>
      <c r="BY13" s="261">
        <v>0</v>
      </c>
      <c r="BZ13" s="261">
        <v>0</v>
      </c>
      <c r="CA13" s="262">
        <v>0</v>
      </c>
      <c r="CB13" s="261">
        <v>0</v>
      </c>
      <c r="CC13" s="261">
        <v>0</v>
      </c>
      <c r="CD13" s="262">
        <v>0</v>
      </c>
      <c r="CE13" s="261">
        <v>0</v>
      </c>
      <c r="CF13" s="261">
        <v>0</v>
      </c>
      <c r="CG13" s="262">
        <v>0</v>
      </c>
      <c r="CH13" s="261">
        <v>0</v>
      </c>
      <c r="CI13" s="261">
        <v>0</v>
      </c>
      <c r="CJ13" s="262">
        <v>0</v>
      </c>
      <c r="CK13" s="261">
        <v>0</v>
      </c>
      <c r="CL13" s="261">
        <v>0</v>
      </c>
      <c r="CM13" s="263">
        <v>0</v>
      </c>
      <c r="CN13" s="261">
        <v>0</v>
      </c>
      <c r="CO13" s="261">
        <v>0</v>
      </c>
      <c r="CP13" s="262">
        <v>0</v>
      </c>
      <c r="CQ13" s="261">
        <v>0</v>
      </c>
      <c r="CR13" s="261">
        <v>0</v>
      </c>
      <c r="CS13" s="262">
        <v>0</v>
      </c>
      <c r="CT13" s="261">
        <v>0</v>
      </c>
      <c r="CU13" s="261">
        <v>0</v>
      </c>
      <c r="CV13" s="262">
        <v>0</v>
      </c>
      <c r="CW13" s="261">
        <v>0</v>
      </c>
      <c r="CX13" s="261">
        <v>0</v>
      </c>
      <c r="CY13" s="262">
        <v>0</v>
      </c>
      <c r="CZ13" s="261">
        <v>0</v>
      </c>
      <c r="DA13" s="261">
        <v>0</v>
      </c>
      <c r="DB13" s="262">
        <v>0</v>
      </c>
      <c r="DC13" s="261">
        <v>0</v>
      </c>
      <c r="DD13" s="261">
        <v>0</v>
      </c>
      <c r="DE13" s="262">
        <v>0</v>
      </c>
      <c r="DF13" s="261">
        <v>0</v>
      </c>
      <c r="DG13" s="261">
        <v>0</v>
      </c>
      <c r="DH13" s="262">
        <v>0</v>
      </c>
      <c r="DI13" s="261">
        <v>0</v>
      </c>
      <c r="DJ13" s="261">
        <v>0</v>
      </c>
      <c r="DK13" s="262">
        <v>0</v>
      </c>
      <c r="DL13" s="261">
        <v>0</v>
      </c>
      <c r="DM13" s="261">
        <v>0</v>
      </c>
      <c r="DN13" s="262">
        <v>0</v>
      </c>
      <c r="DO13" s="261">
        <v>0</v>
      </c>
      <c r="DP13" s="261">
        <v>0</v>
      </c>
      <c r="DQ13" s="262">
        <v>0</v>
      </c>
      <c r="DR13" s="261">
        <v>0</v>
      </c>
      <c r="DS13" s="261">
        <v>0</v>
      </c>
      <c r="DT13" s="262">
        <v>0</v>
      </c>
      <c r="DU13" s="261">
        <v>0</v>
      </c>
      <c r="DV13" s="261">
        <v>0</v>
      </c>
      <c r="DW13" s="262">
        <v>0</v>
      </c>
      <c r="DX13" s="261">
        <v>0</v>
      </c>
      <c r="DY13" s="261">
        <v>0</v>
      </c>
      <c r="DZ13" s="262">
        <v>0</v>
      </c>
      <c r="EA13" s="261">
        <v>0</v>
      </c>
      <c r="EB13" s="261">
        <v>0</v>
      </c>
      <c r="EC13" s="262">
        <v>0</v>
      </c>
      <c r="ED13" s="261">
        <v>0</v>
      </c>
      <c r="EE13" s="261">
        <v>0</v>
      </c>
      <c r="EF13" s="263">
        <v>0</v>
      </c>
      <c r="EG13" s="261">
        <v>0</v>
      </c>
      <c r="EH13" s="261">
        <v>0</v>
      </c>
      <c r="EI13" s="262">
        <v>0</v>
      </c>
      <c r="EJ13" s="261">
        <v>0</v>
      </c>
      <c r="EK13" s="261">
        <v>0</v>
      </c>
      <c r="EL13" s="262">
        <v>0</v>
      </c>
      <c r="EM13" s="261">
        <v>0</v>
      </c>
      <c r="EN13" s="261">
        <v>0</v>
      </c>
      <c r="EO13" s="262">
        <v>0</v>
      </c>
      <c r="EP13" s="261">
        <v>0</v>
      </c>
      <c r="EQ13" s="261">
        <v>0</v>
      </c>
      <c r="ER13" s="262">
        <v>0</v>
      </c>
      <c r="ES13" s="261">
        <v>0</v>
      </c>
      <c r="ET13" s="261">
        <v>0</v>
      </c>
      <c r="EU13" s="262">
        <v>0</v>
      </c>
      <c r="EV13" s="261">
        <v>0</v>
      </c>
      <c r="EW13" s="261">
        <v>0</v>
      </c>
      <c r="EX13" s="262">
        <v>0</v>
      </c>
      <c r="EY13" s="261">
        <v>0</v>
      </c>
      <c r="EZ13" s="261">
        <v>0</v>
      </c>
      <c r="FA13" s="262">
        <v>0</v>
      </c>
      <c r="FB13" s="261">
        <v>0</v>
      </c>
      <c r="FC13" s="261">
        <v>0</v>
      </c>
      <c r="FD13" s="262">
        <v>0</v>
      </c>
      <c r="FE13" s="261">
        <v>0</v>
      </c>
      <c r="FF13" s="261">
        <v>0</v>
      </c>
      <c r="FG13" s="262">
        <v>0</v>
      </c>
      <c r="FH13" s="261">
        <v>0</v>
      </c>
      <c r="FI13" s="261">
        <v>0</v>
      </c>
      <c r="FJ13" s="262">
        <v>0</v>
      </c>
      <c r="FK13" s="261">
        <v>0</v>
      </c>
      <c r="FL13" s="261">
        <v>0</v>
      </c>
      <c r="FM13" s="262">
        <v>0</v>
      </c>
      <c r="FN13" s="261">
        <v>0</v>
      </c>
      <c r="FO13" s="261">
        <v>0</v>
      </c>
      <c r="FP13" s="262">
        <v>0</v>
      </c>
      <c r="FQ13" s="261">
        <v>0</v>
      </c>
      <c r="FR13" s="261">
        <v>0</v>
      </c>
      <c r="FS13" s="262">
        <v>0</v>
      </c>
      <c r="FT13" s="261">
        <v>0</v>
      </c>
      <c r="FU13" s="261">
        <v>0</v>
      </c>
      <c r="FV13" s="262">
        <v>0</v>
      </c>
      <c r="FW13" s="261">
        <v>0</v>
      </c>
      <c r="FX13" s="261">
        <v>0</v>
      </c>
      <c r="FY13" s="263">
        <v>0</v>
      </c>
      <c r="FZ13" s="261">
        <v>0</v>
      </c>
      <c r="GA13" s="261">
        <v>0</v>
      </c>
      <c r="GB13" s="262">
        <v>0</v>
      </c>
      <c r="GC13" s="261">
        <v>0</v>
      </c>
      <c r="GD13" s="261">
        <v>0</v>
      </c>
      <c r="GE13" s="262">
        <v>0</v>
      </c>
      <c r="GF13" s="261">
        <v>0</v>
      </c>
      <c r="GG13" s="261">
        <v>0</v>
      </c>
      <c r="GH13" s="262">
        <v>0</v>
      </c>
      <c r="GI13" s="261">
        <v>0</v>
      </c>
      <c r="GJ13" s="261">
        <v>0</v>
      </c>
      <c r="GK13" s="262">
        <v>0</v>
      </c>
      <c r="GL13" s="261">
        <v>0</v>
      </c>
      <c r="GM13" s="261">
        <v>0</v>
      </c>
      <c r="GN13" s="262">
        <v>0</v>
      </c>
      <c r="GO13" s="261">
        <v>0</v>
      </c>
      <c r="GP13" s="261">
        <v>0</v>
      </c>
      <c r="GQ13" s="262">
        <v>0</v>
      </c>
      <c r="GR13" s="261">
        <v>0</v>
      </c>
      <c r="GS13" s="261">
        <v>0</v>
      </c>
      <c r="GT13" s="262">
        <v>0</v>
      </c>
      <c r="GU13" s="261">
        <v>0</v>
      </c>
      <c r="GV13" s="261">
        <v>0</v>
      </c>
      <c r="GW13" s="262">
        <v>0</v>
      </c>
      <c r="GX13" s="261">
        <v>0</v>
      </c>
      <c r="GY13" s="261">
        <v>0</v>
      </c>
      <c r="GZ13" s="262">
        <v>0</v>
      </c>
      <c r="HA13" s="261">
        <v>0</v>
      </c>
      <c r="HB13" s="261">
        <v>0</v>
      </c>
      <c r="HC13" s="262">
        <v>0</v>
      </c>
      <c r="HD13" s="261">
        <v>0</v>
      </c>
      <c r="HE13" s="261">
        <v>0</v>
      </c>
      <c r="HF13" s="262">
        <v>0</v>
      </c>
      <c r="HG13" s="261">
        <v>0</v>
      </c>
      <c r="HH13" s="261">
        <v>0</v>
      </c>
      <c r="HI13" s="262">
        <v>0</v>
      </c>
      <c r="HJ13" s="261">
        <v>0</v>
      </c>
      <c r="HK13" s="261">
        <v>0</v>
      </c>
      <c r="HL13" s="262">
        <v>0</v>
      </c>
      <c r="HM13" s="261">
        <v>0</v>
      </c>
      <c r="HN13" s="261">
        <v>0</v>
      </c>
      <c r="HO13" s="262">
        <v>0</v>
      </c>
      <c r="HP13" s="261">
        <v>0</v>
      </c>
      <c r="HQ13" s="261">
        <v>0</v>
      </c>
      <c r="HR13" s="263">
        <v>0</v>
      </c>
      <c r="HS13" s="261">
        <v>0</v>
      </c>
      <c r="HT13" s="261">
        <v>0</v>
      </c>
      <c r="HU13" s="262">
        <v>0</v>
      </c>
      <c r="HV13" s="261">
        <v>0</v>
      </c>
      <c r="HW13" s="261">
        <v>0</v>
      </c>
      <c r="HX13" s="262">
        <v>0</v>
      </c>
      <c r="HY13" s="261">
        <v>0</v>
      </c>
      <c r="HZ13" s="261">
        <v>0</v>
      </c>
      <c r="IA13" s="262">
        <v>0</v>
      </c>
      <c r="IB13" s="261">
        <v>0</v>
      </c>
      <c r="IC13" s="261">
        <v>0</v>
      </c>
      <c r="ID13" s="262">
        <v>0</v>
      </c>
      <c r="IE13" s="261">
        <v>0</v>
      </c>
      <c r="IF13" s="261">
        <v>0</v>
      </c>
      <c r="IG13" s="262">
        <v>0</v>
      </c>
      <c r="IH13" s="261">
        <v>0</v>
      </c>
      <c r="II13" s="261">
        <v>0</v>
      </c>
      <c r="IJ13" s="262">
        <v>0</v>
      </c>
      <c r="IK13" s="261">
        <v>0</v>
      </c>
      <c r="IL13" s="261">
        <v>0</v>
      </c>
      <c r="IM13" s="262">
        <v>0</v>
      </c>
      <c r="IN13" s="261">
        <v>0</v>
      </c>
      <c r="IO13" s="261">
        <v>0</v>
      </c>
      <c r="IP13" s="262">
        <v>0</v>
      </c>
      <c r="IQ13" s="261">
        <v>0</v>
      </c>
      <c r="IR13" s="261">
        <v>0</v>
      </c>
      <c r="IS13" s="262">
        <v>0</v>
      </c>
      <c r="IT13" s="261">
        <v>0</v>
      </c>
      <c r="IU13" s="261">
        <v>0</v>
      </c>
      <c r="IV13" s="262">
        <v>0</v>
      </c>
      <c r="IW13" s="261">
        <v>0</v>
      </c>
      <c r="IX13" s="261">
        <v>0</v>
      </c>
      <c r="IY13" s="262">
        <v>0</v>
      </c>
      <c r="IZ13" s="261">
        <v>0</v>
      </c>
      <c r="JA13" s="261">
        <v>0</v>
      </c>
      <c r="JB13" s="262">
        <v>0</v>
      </c>
      <c r="JC13" s="261">
        <v>0</v>
      </c>
      <c r="JD13" s="261">
        <v>0</v>
      </c>
      <c r="JE13" s="262">
        <v>0</v>
      </c>
      <c r="JF13" s="261">
        <v>0</v>
      </c>
      <c r="JG13" s="261">
        <v>0</v>
      </c>
      <c r="JH13" s="262">
        <v>0</v>
      </c>
      <c r="JI13" s="261">
        <v>0</v>
      </c>
      <c r="JJ13" s="261">
        <v>0</v>
      </c>
      <c r="JK13" s="263">
        <v>0</v>
      </c>
      <c r="JL13" s="261">
        <v>0</v>
      </c>
      <c r="JM13" s="261">
        <v>0</v>
      </c>
      <c r="JN13" s="262">
        <v>0</v>
      </c>
      <c r="JO13" s="261">
        <v>0</v>
      </c>
      <c r="JP13" s="261">
        <v>0</v>
      </c>
      <c r="JQ13" s="262">
        <v>0</v>
      </c>
      <c r="JR13" s="261">
        <v>0</v>
      </c>
      <c r="JS13" s="261">
        <v>0</v>
      </c>
      <c r="JT13" s="262">
        <v>0</v>
      </c>
      <c r="JU13" s="261">
        <v>0</v>
      </c>
      <c r="JV13" s="261">
        <v>0</v>
      </c>
      <c r="JW13" s="262">
        <v>0</v>
      </c>
      <c r="JX13" s="261">
        <v>0</v>
      </c>
      <c r="JY13" s="261">
        <v>0</v>
      </c>
      <c r="JZ13" s="262">
        <v>0</v>
      </c>
      <c r="KA13" s="261">
        <v>0</v>
      </c>
      <c r="KB13" s="261">
        <v>0</v>
      </c>
      <c r="KC13" s="262">
        <v>0</v>
      </c>
      <c r="KD13" s="261">
        <v>0</v>
      </c>
      <c r="KE13" s="261">
        <v>0</v>
      </c>
      <c r="KF13" s="262">
        <v>0</v>
      </c>
      <c r="KG13" s="261">
        <v>0</v>
      </c>
      <c r="KH13" s="261">
        <v>0</v>
      </c>
      <c r="KI13" s="262">
        <v>0</v>
      </c>
      <c r="KJ13" s="261">
        <v>0</v>
      </c>
      <c r="KK13" s="261">
        <v>0</v>
      </c>
      <c r="KL13" s="262">
        <v>0</v>
      </c>
      <c r="KM13" s="261">
        <v>0</v>
      </c>
      <c r="KN13" s="261">
        <v>0</v>
      </c>
      <c r="KO13" s="262">
        <v>0</v>
      </c>
      <c r="KP13" s="261">
        <v>0</v>
      </c>
      <c r="KQ13" s="261">
        <v>0</v>
      </c>
      <c r="KR13" s="262">
        <v>0</v>
      </c>
      <c r="KS13" s="261">
        <v>0</v>
      </c>
      <c r="KT13" s="261">
        <v>0</v>
      </c>
      <c r="KU13" s="262">
        <v>0</v>
      </c>
      <c r="KV13" s="261">
        <v>0</v>
      </c>
      <c r="KW13" s="261">
        <v>0</v>
      </c>
      <c r="KX13" s="262">
        <v>0</v>
      </c>
      <c r="KY13" s="261">
        <v>0</v>
      </c>
      <c r="KZ13" s="261">
        <v>0</v>
      </c>
      <c r="LA13" s="262">
        <v>0</v>
      </c>
      <c r="LB13" s="261">
        <v>0</v>
      </c>
      <c r="LC13" s="261">
        <v>0</v>
      </c>
      <c r="LD13" s="263">
        <v>0</v>
      </c>
      <c r="LE13" s="261">
        <v>0</v>
      </c>
      <c r="LF13" s="261">
        <v>0</v>
      </c>
      <c r="LG13" s="262">
        <v>0</v>
      </c>
      <c r="LH13" s="261">
        <v>0</v>
      </c>
      <c r="LI13" s="261">
        <v>0</v>
      </c>
      <c r="LJ13" s="262">
        <v>0</v>
      </c>
      <c r="LK13" s="261">
        <v>0</v>
      </c>
      <c r="LL13" s="261">
        <v>0</v>
      </c>
      <c r="LM13" s="262">
        <v>0</v>
      </c>
      <c r="LN13" s="261">
        <v>0</v>
      </c>
      <c r="LO13" s="261">
        <v>0</v>
      </c>
      <c r="LP13" s="262">
        <v>0</v>
      </c>
      <c r="LQ13" s="261">
        <v>0</v>
      </c>
      <c r="LR13" s="261">
        <v>0</v>
      </c>
      <c r="LS13" s="262">
        <v>0</v>
      </c>
      <c r="LT13" s="261">
        <v>0</v>
      </c>
      <c r="LU13" s="261">
        <v>0</v>
      </c>
      <c r="LV13" s="262">
        <v>0</v>
      </c>
      <c r="LW13" s="261">
        <v>0</v>
      </c>
      <c r="LX13" s="261">
        <v>0</v>
      </c>
      <c r="LY13" s="262">
        <v>0</v>
      </c>
      <c r="LZ13" s="261">
        <v>0</v>
      </c>
      <c r="MA13" s="261">
        <v>0</v>
      </c>
      <c r="MB13" s="262">
        <v>0</v>
      </c>
      <c r="MC13" s="261">
        <v>0</v>
      </c>
      <c r="MD13" s="261">
        <v>0</v>
      </c>
      <c r="ME13" s="262">
        <v>0</v>
      </c>
      <c r="MF13" s="261">
        <v>0</v>
      </c>
      <c r="MG13" s="261">
        <v>0</v>
      </c>
      <c r="MH13" s="262">
        <v>0</v>
      </c>
      <c r="MI13" s="261">
        <v>0</v>
      </c>
      <c r="MJ13" s="261">
        <v>0</v>
      </c>
      <c r="MK13" s="262">
        <v>0</v>
      </c>
      <c r="ML13" s="261">
        <v>0</v>
      </c>
      <c r="MM13" s="261">
        <v>0</v>
      </c>
      <c r="MN13" s="262">
        <v>0</v>
      </c>
      <c r="MO13" s="261">
        <v>0</v>
      </c>
      <c r="MP13" s="261">
        <v>0</v>
      </c>
      <c r="MQ13" s="262">
        <v>0</v>
      </c>
      <c r="MR13" s="261">
        <v>0</v>
      </c>
      <c r="MS13" s="261">
        <v>0</v>
      </c>
      <c r="MT13" s="262">
        <v>0</v>
      </c>
      <c r="MU13" s="261">
        <v>0</v>
      </c>
      <c r="MV13" s="261">
        <v>0</v>
      </c>
      <c r="MW13" s="263">
        <v>0</v>
      </c>
      <c r="MX13" s="261">
        <v>0</v>
      </c>
      <c r="MY13" s="261">
        <v>0</v>
      </c>
      <c r="MZ13" s="262">
        <v>0</v>
      </c>
      <c r="NA13" s="261">
        <v>0</v>
      </c>
      <c r="NB13" s="261">
        <v>0</v>
      </c>
      <c r="NC13" s="262">
        <v>0</v>
      </c>
      <c r="ND13" s="261">
        <v>0</v>
      </c>
      <c r="NE13" s="261">
        <v>0</v>
      </c>
      <c r="NF13" s="262">
        <v>0</v>
      </c>
      <c r="NG13" s="261">
        <v>0</v>
      </c>
      <c r="NH13" s="261">
        <v>0</v>
      </c>
      <c r="NI13" s="262">
        <v>0</v>
      </c>
      <c r="NJ13" s="261">
        <v>0</v>
      </c>
      <c r="NK13" s="261">
        <v>0</v>
      </c>
      <c r="NL13" s="262">
        <v>0</v>
      </c>
      <c r="NM13" s="261">
        <v>0</v>
      </c>
      <c r="NN13" s="261">
        <v>0</v>
      </c>
      <c r="NO13" s="262">
        <v>0</v>
      </c>
      <c r="NP13" s="261">
        <v>0</v>
      </c>
      <c r="NQ13" s="261">
        <v>0</v>
      </c>
      <c r="NR13" s="262">
        <v>0</v>
      </c>
      <c r="NS13" s="261">
        <v>0</v>
      </c>
      <c r="NT13" s="261">
        <v>0</v>
      </c>
      <c r="NU13" s="262">
        <v>0</v>
      </c>
      <c r="NV13" s="261">
        <v>0</v>
      </c>
      <c r="NW13" s="261">
        <v>0</v>
      </c>
      <c r="NX13" s="262">
        <v>0</v>
      </c>
      <c r="NY13" s="261">
        <v>0</v>
      </c>
      <c r="NZ13" s="261">
        <v>0</v>
      </c>
      <c r="OA13" s="262">
        <v>0</v>
      </c>
      <c r="OB13" s="261">
        <v>0</v>
      </c>
      <c r="OC13" s="261">
        <v>0</v>
      </c>
      <c r="OD13" s="262">
        <v>0</v>
      </c>
      <c r="OE13" s="261">
        <v>0</v>
      </c>
      <c r="OF13" s="261">
        <v>0</v>
      </c>
      <c r="OG13" s="262">
        <v>0</v>
      </c>
      <c r="OH13" s="261">
        <v>0</v>
      </c>
      <c r="OI13" s="261">
        <v>0</v>
      </c>
      <c r="OJ13" s="262">
        <v>0</v>
      </c>
      <c r="OK13" s="261">
        <v>0</v>
      </c>
      <c r="OL13" s="261">
        <v>0</v>
      </c>
      <c r="OM13" s="262">
        <v>0</v>
      </c>
      <c r="ON13" s="261">
        <v>0</v>
      </c>
      <c r="OO13" s="261">
        <v>0</v>
      </c>
      <c r="OP13" s="263">
        <v>0</v>
      </c>
      <c r="OQ13" s="261">
        <v>0</v>
      </c>
      <c r="OR13" s="261">
        <v>0</v>
      </c>
      <c r="OS13" s="262">
        <v>0</v>
      </c>
      <c r="OT13" s="261">
        <v>0</v>
      </c>
      <c r="OU13" s="261">
        <v>0</v>
      </c>
      <c r="OV13" s="262">
        <v>0</v>
      </c>
      <c r="OW13" s="261">
        <v>0</v>
      </c>
      <c r="OX13" s="261">
        <v>0</v>
      </c>
      <c r="OY13" s="262">
        <v>0</v>
      </c>
      <c r="OZ13" s="261">
        <v>0</v>
      </c>
      <c r="PA13" s="261">
        <v>0</v>
      </c>
      <c r="PB13" s="262">
        <v>0</v>
      </c>
      <c r="PC13" s="261">
        <v>0</v>
      </c>
      <c r="PD13" s="261">
        <v>0</v>
      </c>
      <c r="PE13" s="262">
        <v>0</v>
      </c>
      <c r="PF13" s="261">
        <v>0</v>
      </c>
      <c r="PG13" s="261">
        <v>0</v>
      </c>
      <c r="PH13" s="262">
        <v>0</v>
      </c>
      <c r="PI13" s="261">
        <v>0</v>
      </c>
      <c r="PJ13" s="261">
        <v>0</v>
      </c>
      <c r="PK13" s="262">
        <v>0</v>
      </c>
      <c r="PL13" s="261">
        <v>0</v>
      </c>
      <c r="PM13" s="261">
        <v>0</v>
      </c>
      <c r="PN13" s="262">
        <v>0</v>
      </c>
      <c r="PO13" s="261">
        <v>0</v>
      </c>
      <c r="PP13" s="261">
        <v>0</v>
      </c>
      <c r="PQ13" s="262">
        <v>0</v>
      </c>
      <c r="PR13" s="261">
        <v>0</v>
      </c>
      <c r="PS13" s="261">
        <v>0</v>
      </c>
      <c r="PT13" s="262">
        <v>0</v>
      </c>
      <c r="PU13" s="261">
        <v>0</v>
      </c>
      <c r="PV13" s="261">
        <v>0</v>
      </c>
      <c r="PW13" s="262">
        <v>0</v>
      </c>
      <c r="PX13" s="261">
        <v>0</v>
      </c>
      <c r="PY13" s="261">
        <v>0</v>
      </c>
      <c r="PZ13" s="262">
        <v>0</v>
      </c>
      <c r="QA13" s="261">
        <v>0</v>
      </c>
      <c r="QB13" s="261">
        <v>0</v>
      </c>
      <c r="QC13" s="262">
        <v>0</v>
      </c>
      <c r="QD13" s="261">
        <v>0</v>
      </c>
      <c r="QE13" s="261">
        <v>0</v>
      </c>
      <c r="QF13" s="262">
        <v>0</v>
      </c>
      <c r="QG13" s="261">
        <v>0</v>
      </c>
      <c r="QH13" s="261">
        <v>0</v>
      </c>
      <c r="QI13" s="263">
        <v>0</v>
      </c>
      <c r="QJ13" s="261">
        <v>0</v>
      </c>
      <c r="QK13" s="261">
        <v>0</v>
      </c>
      <c r="QL13" s="262">
        <v>0</v>
      </c>
      <c r="QM13" s="261">
        <v>0</v>
      </c>
      <c r="QN13" s="261">
        <v>0</v>
      </c>
      <c r="QO13" s="262">
        <v>0</v>
      </c>
      <c r="QP13" s="261">
        <v>0</v>
      </c>
      <c r="QQ13" s="261">
        <v>0</v>
      </c>
      <c r="QR13" s="262">
        <v>0</v>
      </c>
      <c r="QS13" s="261">
        <v>0</v>
      </c>
      <c r="QT13" s="261">
        <v>0</v>
      </c>
      <c r="QU13" s="262">
        <v>0</v>
      </c>
      <c r="QV13" s="261">
        <v>0</v>
      </c>
      <c r="QW13" s="261">
        <v>0</v>
      </c>
      <c r="QX13" s="262">
        <v>0</v>
      </c>
      <c r="QY13" s="261">
        <v>0</v>
      </c>
      <c r="QZ13" s="261">
        <v>0</v>
      </c>
      <c r="RA13" s="262">
        <v>0</v>
      </c>
      <c r="RB13" s="261">
        <v>0</v>
      </c>
      <c r="RC13" s="261">
        <v>0</v>
      </c>
      <c r="RD13" s="262">
        <v>0</v>
      </c>
      <c r="RE13" s="261">
        <v>0</v>
      </c>
      <c r="RF13" s="261">
        <v>0</v>
      </c>
      <c r="RG13" s="262">
        <v>0</v>
      </c>
      <c r="RH13" s="261">
        <v>0</v>
      </c>
      <c r="RI13" s="261">
        <v>0</v>
      </c>
      <c r="RJ13" s="262">
        <v>0</v>
      </c>
      <c r="RK13" s="261">
        <v>0</v>
      </c>
      <c r="RL13" s="261">
        <v>0</v>
      </c>
      <c r="RM13" s="262">
        <v>0</v>
      </c>
      <c r="RN13" s="261">
        <v>0</v>
      </c>
      <c r="RO13" s="261">
        <v>0</v>
      </c>
      <c r="RP13" s="262">
        <v>0</v>
      </c>
      <c r="RQ13" s="261">
        <v>0</v>
      </c>
      <c r="RR13" s="261">
        <v>0</v>
      </c>
      <c r="RS13" s="262">
        <v>0</v>
      </c>
      <c r="RT13" s="261">
        <v>0</v>
      </c>
      <c r="RU13" s="261">
        <v>0</v>
      </c>
      <c r="RV13" s="262">
        <v>0</v>
      </c>
      <c r="RW13" s="261">
        <v>0</v>
      </c>
      <c r="RX13" s="261">
        <v>0</v>
      </c>
      <c r="RY13" s="262">
        <v>0</v>
      </c>
      <c r="RZ13" s="261">
        <v>0</v>
      </c>
      <c r="SA13" s="261">
        <v>0</v>
      </c>
      <c r="SB13" s="263">
        <v>0</v>
      </c>
      <c r="SC13" s="261">
        <v>0</v>
      </c>
      <c r="SD13" s="261">
        <v>0</v>
      </c>
      <c r="SE13" s="262">
        <v>0</v>
      </c>
      <c r="SF13" s="261">
        <v>0</v>
      </c>
      <c r="SG13" s="261">
        <v>0</v>
      </c>
      <c r="SH13" s="262">
        <v>0</v>
      </c>
      <c r="SI13" s="261">
        <v>0</v>
      </c>
      <c r="SJ13" s="261">
        <v>0</v>
      </c>
      <c r="SK13" s="262">
        <v>0</v>
      </c>
      <c r="SL13" s="261">
        <v>0</v>
      </c>
      <c r="SM13" s="261">
        <v>0</v>
      </c>
      <c r="SN13" s="262">
        <v>0</v>
      </c>
      <c r="SO13" s="261">
        <v>0</v>
      </c>
      <c r="SP13" s="261">
        <v>0</v>
      </c>
      <c r="SQ13" s="262">
        <v>0</v>
      </c>
      <c r="SR13" s="261">
        <v>0</v>
      </c>
      <c r="SS13" s="261">
        <v>0</v>
      </c>
      <c r="ST13" s="262">
        <v>0</v>
      </c>
      <c r="SU13" s="261">
        <v>0</v>
      </c>
      <c r="SV13" s="261">
        <v>0</v>
      </c>
      <c r="SW13" s="262">
        <v>0</v>
      </c>
      <c r="SX13" s="261">
        <v>0</v>
      </c>
      <c r="SY13" s="261">
        <v>0</v>
      </c>
      <c r="SZ13" s="262">
        <v>0</v>
      </c>
      <c r="TA13" s="261">
        <v>0</v>
      </c>
      <c r="TB13" s="261">
        <v>0</v>
      </c>
      <c r="TC13" s="262">
        <v>0</v>
      </c>
      <c r="TD13" s="261">
        <v>0</v>
      </c>
      <c r="TE13" s="261">
        <v>0</v>
      </c>
      <c r="TF13" s="262">
        <v>0</v>
      </c>
      <c r="TG13" s="261">
        <v>0</v>
      </c>
      <c r="TH13" s="261">
        <v>0</v>
      </c>
      <c r="TI13" s="262">
        <v>0</v>
      </c>
      <c r="TJ13" s="261">
        <v>0</v>
      </c>
      <c r="TK13" s="261">
        <v>0</v>
      </c>
      <c r="TL13" s="262">
        <v>0</v>
      </c>
      <c r="TM13" s="261">
        <v>0</v>
      </c>
      <c r="TN13" s="261">
        <v>0</v>
      </c>
      <c r="TO13" s="262">
        <v>0</v>
      </c>
      <c r="TP13" s="261">
        <v>0</v>
      </c>
      <c r="TQ13" s="261">
        <v>0</v>
      </c>
      <c r="TR13" s="262">
        <v>0</v>
      </c>
      <c r="TS13" s="261">
        <v>0</v>
      </c>
      <c r="TT13" s="261">
        <v>0</v>
      </c>
      <c r="TU13" s="263">
        <v>0</v>
      </c>
      <c r="TV13" s="261">
        <v>0</v>
      </c>
      <c r="TW13" s="261">
        <v>0</v>
      </c>
      <c r="TX13" s="262">
        <v>0</v>
      </c>
      <c r="TY13" s="261">
        <v>0</v>
      </c>
      <c r="TZ13" s="261">
        <v>0</v>
      </c>
      <c r="UA13" s="262">
        <v>0</v>
      </c>
      <c r="UB13" s="261">
        <v>0</v>
      </c>
      <c r="UC13" s="261">
        <v>0</v>
      </c>
      <c r="UD13" s="262">
        <v>0</v>
      </c>
      <c r="UE13" s="261">
        <v>0</v>
      </c>
      <c r="UF13" s="261">
        <v>0</v>
      </c>
      <c r="UG13" s="262">
        <v>0</v>
      </c>
      <c r="UH13" s="261">
        <v>0</v>
      </c>
      <c r="UI13" s="261">
        <v>0</v>
      </c>
      <c r="UJ13" s="262">
        <v>0</v>
      </c>
      <c r="UK13" s="261">
        <v>0</v>
      </c>
      <c r="UL13" s="261">
        <v>0</v>
      </c>
      <c r="UM13" s="262">
        <v>0</v>
      </c>
      <c r="UN13" s="261">
        <v>0</v>
      </c>
      <c r="UO13" s="261">
        <v>0</v>
      </c>
      <c r="UP13" s="262">
        <v>0</v>
      </c>
      <c r="UQ13" s="261">
        <v>0</v>
      </c>
      <c r="UR13" s="261">
        <v>0</v>
      </c>
      <c r="US13" s="262">
        <v>0</v>
      </c>
      <c r="UT13" s="261">
        <v>0</v>
      </c>
      <c r="UU13" s="261">
        <v>0</v>
      </c>
      <c r="UV13" s="262">
        <v>0</v>
      </c>
      <c r="UW13" s="261">
        <v>0</v>
      </c>
      <c r="UX13" s="261">
        <v>0</v>
      </c>
      <c r="UY13" s="262">
        <v>0</v>
      </c>
      <c r="UZ13" s="261">
        <v>0</v>
      </c>
      <c r="VA13" s="261">
        <v>0</v>
      </c>
      <c r="VB13" s="262">
        <v>0</v>
      </c>
      <c r="VC13" s="261">
        <v>0</v>
      </c>
      <c r="VD13" s="261">
        <v>0</v>
      </c>
      <c r="VE13" s="262">
        <v>0</v>
      </c>
      <c r="VF13" s="261">
        <v>0</v>
      </c>
      <c r="VG13" s="261">
        <v>0</v>
      </c>
      <c r="VH13" s="262">
        <v>0</v>
      </c>
      <c r="VI13" s="261">
        <v>0</v>
      </c>
      <c r="VJ13" s="261">
        <v>0</v>
      </c>
      <c r="VK13" s="262">
        <v>0</v>
      </c>
      <c r="VL13" s="261">
        <v>0</v>
      </c>
      <c r="VM13" s="261">
        <v>0</v>
      </c>
      <c r="VN13" s="263">
        <v>0</v>
      </c>
    </row>
    <row r="14" spans="1:586">
      <c r="A14" s="267" t="s">
        <v>137</v>
      </c>
      <c r="B14" s="261">
        <v>0</v>
      </c>
      <c r="C14" s="261">
        <v>0</v>
      </c>
      <c r="D14" s="262">
        <v>0</v>
      </c>
      <c r="E14" s="261">
        <v>0</v>
      </c>
      <c r="F14" s="261">
        <v>0</v>
      </c>
      <c r="G14" s="262">
        <v>0</v>
      </c>
      <c r="H14" s="261">
        <v>0</v>
      </c>
      <c r="I14" s="261">
        <v>0</v>
      </c>
      <c r="J14" s="262">
        <v>0</v>
      </c>
      <c r="K14" s="261">
        <v>0</v>
      </c>
      <c r="L14" s="261">
        <v>0</v>
      </c>
      <c r="M14" s="262">
        <v>0</v>
      </c>
      <c r="N14" s="261">
        <v>0</v>
      </c>
      <c r="O14" s="261">
        <v>0</v>
      </c>
      <c r="P14" s="262">
        <v>0</v>
      </c>
      <c r="Q14" s="261">
        <v>0</v>
      </c>
      <c r="R14" s="261">
        <v>0</v>
      </c>
      <c r="S14" s="262">
        <v>0</v>
      </c>
      <c r="T14" s="261">
        <v>0</v>
      </c>
      <c r="U14" s="261">
        <v>0</v>
      </c>
      <c r="V14" s="262">
        <v>0</v>
      </c>
      <c r="W14" s="261">
        <v>0</v>
      </c>
      <c r="X14" s="261">
        <v>0</v>
      </c>
      <c r="Y14" s="262">
        <v>0</v>
      </c>
      <c r="Z14" s="261">
        <v>0</v>
      </c>
      <c r="AA14" s="261">
        <v>0</v>
      </c>
      <c r="AB14" s="262">
        <v>0</v>
      </c>
      <c r="AC14" s="261">
        <v>0</v>
      </c>
      <c r="AD14" s="261">
        <v>0</v>
      </c>
      <c r="AE14" s="262">
        <v>0</v>
      </c>
      <c r="AF14" s="261">
        <v>0</v>
      </c>
      <c r="AG14" s="261">
        <v>0</v>
      </c>
      <c r="AH14" s="262">
        <v>0</v>
      </c>
      <c r="AI14" s="261">
        <v>0</v>
      </c>
      <c r="AJ14" s="261">
        <v>0</v>
      </c>
      <c r="AK14" s="262">
        <v>0</v>
      </c>
      <c r="AL14" s="261">
        <v>2952.8670000000002</v>
      </c>
      <c r="AM14" s="261">
        <v>2641.6550000000002</v>
      </c>
      <c r="AN14" s="262">
        <v>0.117809479284767</v>
      </c>
      <c r="AO14" s="261">
        <v>10052.007</v>
      </c>
      <c r="AP14" s="261">
        <v>10035.963</v>
      </c>
      <c r="AQ14" s="262">
        <v>1.59865077222782E-3</v>
      </c>
      <c r="AR14" s="261">
        <v>23368.035</v>
      </c>
      <c r="AS14" s="261">
        <v>19243.192999999999</v>
      </c>
      <c r="AT14" s="263">
        <v>0.21435330404886599</v>
      </c>
      <c r="AU14" s="261">
        <v>0</v>
      </c>
      <c r="AV14" s="261">
        <v>0</v>
      </c>
      <c r="AW14" s="262">
        <v>0</v>
      </c>
      <c r="AX14" s="261">
        <v>0</v>
      </c>
      <c r="AY14" s="261">
        <v>0</v>
      </c>
      <c r="AZ14" s="262">
        <v>0</v>
      </c>
      <c r="BA14" s="261">
        <v>0</v>
      </c>
      <c r="BB14" s="261">
        <v>0</v>
      </c>
      <c r="BC14" s="262">
        <v>0</v>
      </c>
      <c r="BD14" s="261">
        <v>0</v>
      </c>
      <c r="BE14" s="261">
        <v>0</v>
      </c>
      <c r="BF14" s="262">
        <v>0</v>
      </c>
      <c r="BG14" s="261">
        <v>0</v>
      </c>
      <c r="BH14" s="261">
        <v>0</v>
      </c>
      <c r="BI14" s="262">
        <v>0</v>
      </c>
      <c r="BJ14" s="261">
        <v>0</v>
      </c>
      <c r="BK14" s="261">
        <v>0</v>
      </c>
      <c r="BL14" s="262">
        <v>0</v>
      </c>
      <c r="BM14" s="261">
        <v>0</v>
      </c>
      <c r="BN14" s="261">
        <v>0</v>
      </c>
      <c r="BO14" s="262">
        <v>0</v>
      </c>
      <c r="BP14" s="261">
        <v>0</v>
      </c>
      <c r="BQ14" s="261">
        <v>0</v>
      </c>
      <c r="BR14" s="262">
        <v>0</v>
      </c>
      <c r="BS14" s="261">
        <v>0</v>
      </c>
      <c r="BT14" s="261">
        <v>0</v>
      </c>
      <c r="BU14" s="262">
        <v>0</v>
      </c>
      <c r="BV14" s="261">
        <v>0</v>
      </c>
      <c r="BW14" s="261">
        <v>0</v>
      </c>
      <c r="BX14" s="262">
        <v>0</v>
      </c>
      <c r="BY14" s="261">
        <v>0</v>
      </c>
      <c r="BZ14" s="261">
        <v>0</v>
      </c>
      <c r="CA14" s="262">
        <v>0</v>
      </c>
      <c r="CB14" s="261">
        <v>0</v>
      </c>
      <c r="CC14" s="261">
        <v>0</v>
      </c>
      <c r="CD14" s="262">
        <v>0</v>
      </c>
      <c r="CE14" s="261">
        <v>3291.4969999999998</v>
      </c>
      <c r="CF14" s="261">
        <v>3511.31</v>
      </c>
      <c r="CG14" s="262">
        <v>-6.2601422261207407E-2</v>
      </c>
      <c r="CH14" s="261">
        <v>13343.504000000001</v>
      </c>
      <c r="CI14" s="261">
        <v>13547.272999999999</v>
      </c>
      <c r="CJ14" s="262">
        <v>-1.5041329720010699E-2</v>
      </c>
      <c r="CK14" s="261">
        <v>23148.222000000002</v>
      </c>
      <c r="CL14" s="261">
        <v>19974.920999999998</v>
      </c>
      <c r="CM14" s="263">
        <v>0.15886425783611399</v>
      </c>
      <c r="CN14" s="261">
        <v>0</v>
      </c>
      <c r="CO14" s="261">
        <v>0</v>
      </c>
      <c r="CP14" s="262">
        <v>0</v>
      </c>
      <c r="CQ14" s="261">
        <v>0</v>
      </c>
      <c r="CR14" s="261">
        <v>0</v>
      </c>
      <c r="CS14" s="262">
        <v>0</v>
      </c>
      <c r="CT14" s="261">
        <v>0</v>
      </c>
      <c r="CU14" s="261">
        <v>0</v>
      </c>
      <c r="CV14" s="262">
        <v>0</v>
      </c>
      <c r="CW14" s="261">
        <v>0</v>
      </c>
      <c r="CX14" s="261">
        <v>0</v>
      </c>
      <c r="CY14" s="262">
        <v>0</v>
      </c>
      <c r="CZ14" s="261">
        <v>0</v>
      </c>
      <c r="DA14" s="261">
        <v>0</v>
      </c>
      <c r="DB14" s="262">
        <v>0</v>
      </c>
      <c r="DC14" s="261">
        <v>0</v>
      </c>
      <c r="DD14" s="261">
        <v>0</v>
      </c>
      <c r="DE14" s="262">
        <v>0</v>
      </c>
      <c r="DF14" s="261">
        <v>0</v>
      </c>
      <c r="DG14" s="261">
        <v>0</v>
      </c>
      <c r="DH14" s="262">
        <v>0</v>
      </c>
      <c r="DI14" s="261">
        <v>0</v>
      </c>
      <c r="DJ14" s="261">
        <v>0</v>
      </c>
      <c r="DK14" s="262">
        <v>0</v>
      </c>
      <c r="DL14" s="261">
        <v>0</v>
      </c>
      <c r="DM14" s="261">
        <v>0</v>
      </c>
      <c r="DN14" s="262">
        <v>0</v>
      </c>
      <c r="DO14" s="261">
        <v>0</v>
      </c>
      <c r="DP14" s="261">
        <v>0</v>
      </c>
      <c r="DQ14" s="262">
        <v>0</v>
      </c>
      <c r="DR14" s="261">
        <v>0</v>
      </c>
      <c r="DS14" s="261">
        <v>0</v>
      </c>
      <c r="DT14" s="262">
        <v>0</v>
      </c>
      <c r="DU14" s="261">
        <v>0</v>
      </c>
      <c r="DV14" s="261">
        <v>0</v>
      </c>
      <c r="DW14" s="262">
        <v>0</v>
      </c>
      <c r="DX14" s="261">
        <v>2748.143</v>
      </c>
      <c r="DY14" s="261">
        <v>3975.7840000000001</v>
      </c>
      <c r="DZ14" s="262">
        <v>-0.30877960170874502</v>
      </c>
      <c r="EA14" s="261">
        <v>16091.647000000001</v>
      </c>
      <c r="EB14" s="261">
        <v>17523.057000000001</v>
      </c>
      <c r="EC14" s="262">
        <v>-8.1687230715508194E-2</v>
      </c>
      <c r="ED14" s="261">
        <v>21920.580999999998</v>
      </c>
      <c r="EE14" s="261">
        <v>21238.594000000001</v>
      </c>
      <c r="EF14" s="263">
        <v>3.2110741417251898E-2</v>
      </c>
      <c r="EG14" s="261">
        <v>0</v>
      </c>
      <c r="EH14" s="261">
        <v>0</v>
      </c>
      <c r="EI14" s="262">
        <v>0</v>
      </c>
      <c r="EJ14" s="261">
        <v>0</v>
      </c>
      <c r="EK14" s="261">
        <v>0</v>
      </c>
      <c r="EL14" s="262">
        <v>0</v>
      </c>
      <c r="EM14" s="261">
        <v>0</v>
      </c>
      <c r="EN14" s="261">
        <v>0</v>
      </c>
      <c r="EO14" s="262">
        <v>0</v>
      </c>
      <c r="EP14" s="261">
        <v>0</v>
      </c>
      <c r="EQ14" s="261">
        <v>0</v>
      </c>
      <c r="ER14" s="262">
        <v>0</v>
      </c>
      <c r="ES14" s="261">
        <v>0</v>
      </c>
      <c r="ET14" s="261">
        <v>0</v>
      </c>
      <c r="EU14" s="262">
        <v>0</v>
      </c>
      <c r="EV14" s="261">
        <v>0</v>
      </c>
      <c r="EW14" s="261">
        <v>0</v>
      </c>
      <c r="EX14" s="262">
        <v>0</v>
      </c>
      <c r="EY14" s="261">
        <v>0</v>
      </c>
      <c r="EZ14" s="261">
        <v>0</v>
      </c>
      <c r="FA14" s="262">
        <v>0</v>
      </c>
      <c r="FB14" s="261">
        <v>0</v>
      </c>
      <c r="FC14" s="261">
        <v>0</v>
      </c>
      <c r="FD14" s="262">
        <v>0</v>
      </c>
      <c r="FE14" s="261">
        <v>0</v>
      </c>
      <c r="FF14" s="261">
        <v>0</v>
      </c>
      <c r="FG14" s="262">
        <v>0</v>
      </c>
      <c r="FH14" s="261">
        <v>0</v>
      </c>
      <c r="FI14" s="261">
        <v>0</v>
      </c>
      <c r="FJ14" s="262">
        <v>0</v>
      </c>
      <c r="FK14" s="261">
        <v>0</v>
      </c>
      <c r="FL14" s="261">
        <v>0</v>
      </c>
      <c r="FM14" s="262">
        <v>0</v>
      </c>
      <c r="FN14" s="261">
        <v>0</v>
      </c>
      <c r="FO14" s="261">
        <v>0</v>
      </c>
      <c r="FP14" s="262">
        <v>0</v>
      </c>
      <c r="FQ14" s="261">
        <v>2590.817</v>
      </c>
      <c r="FR14" s="261">
        <v>2271.4740000000002</v>
      </c>
      <c r="FS14" s="262">
        <v>0.14058844609271301</v>
      </c>
      <c r="FT14" s="261">
        <v>18682.464</v>
      </c>
      <c r="FU14" s="261">
        <v>19794.530999999999</v>
      </c>
      <c r="FV14" s="262">
        <v>-5.6180517739975698E-2</v>
      </c>
      <c r="FW14" s="261">
        <v>22239.923999999999</v>
      </c>
      <c r="FX14" s="261">
        <v>22169.642</v>
      </c>
      <c r="FY14" s="263">
        <v>3.1701910206758999E-3</v>
      </c>
      <c r="FZ14" s="261">
        <v>0</v>
      </c>
      <c r="GA14" s="261">
        <v>0</v>
      </c>
      <c r="GB14" s="262">
        <v>0</v>
      </c>
      <c r="GC14" s="261">
        <v>0</v>
      </c>
      <c r="GD14" s="261">
        <v>0</v>
      </c>
      <c r="GE14" s="262">
        <v>0</v>
      </c>
      <c r="GF14" s="261">
        <v>0</v>
      </c>
      <c r="GG14" s="261">
        <v>0</v>
      </c>
      <c r="GH14" s="262">
        <v>0</v>
      </c>
      <c r="GI14" s="261">
        <v>0</v>
      </c>
      <c r="GJ14" s="261">
        <v>0</v>
      </c>
      <c r="GK14" s="262">
        <v>0</v>
      </c>
      <c r="GL14" s="261">
        <v>0</v>
      </c>
      <c r="GM14" s="261">
        <v>0</v>
      </c>
      <c r="GN14" s="262">
        <v>0</v>
      </c>
      <c r="GO14" s="261">
        <v>0</v>
      </c>
      <c r="GP14" s="261">
        <v>0</v>
      </c>
      <c r="GQ14" s="262">
        <v>0</v>
      </c>
      <c r="GR14" s="261">
        <v>0</v>
      </c>
      <c r="GS14" s="261">
        <v>0</v>
      </c>
      <c r="GT14" s="262">
        <v>0</v>
      </c>
      <c r="GU14" s="261">
        <v>0</v>
      </c>
      <c r="GV14" s="261">
        <v>0</v>
      </c>
      <c r="GW14" s="262">
        <v>0</v>
      </c>
      <c r="GX14" s="261">
        <v>0</v>
      </c>
      <c r="GY14" s="261">
        <v>0</v>
      </c>
      <c r="GZ14" s="262">
        <v>0</v>
      </c>
      <c r="HA14" s="261">
        <v>0</v>
      </c>
      <c r="HB14" s="261">
        <v>0</v>
      </c>
      <c r="HC14" s="262">
        <v>0</v>
      </c>
      <c r="HD14" s="261">
        <v>0</v>
      </c>
      <c r="HE14" s="261">
        <v>0</v>
      </c>
      <c r="HF14" s="262">
        <v>0</v>
      </c>
      <c r="HG14" s="261">
        <v>0</v>
      </c>
      <c r="HH14" s="261">
        <v>0</v>
      </c>
      <c r="HI14" s="262">
        <v>0</v>
      </c>
      <c r="HJ14" s="261">
        <v>1167.1569999999999</v>
      </c>
      <c r="HK14" s="261">
        <v>1869.634</v>
      </c>
      <c r="HL14" s="262">
        <v>-0.37572968827053899</v>
      </c>
      <c r="HM14" s="261">
        <v>19849.620999999999</v>
      </c>
      <c r="HN14" s="261">
        <v>21664.165000000001</v>
      </c>
      <c r="HO14" s="262">
        <v>-8.3757855426230404E-2</v>
      </c>
      <c r="HP14" s="261">
        <v>21537.447</v>
      </c>
      <c r="HQ14" s="261">
        <v>23518.175999999999</v>
      </c>
      <c r="HR14" s="263">
        <v>-8.4221199807332003E-2</v>
      </c>
      <c r="HS14" s="261">
        <v>0</v>
      </c>
      <c r="HT14" s="261">
        <v>0</v>
      </c>
      <c r="HU14" s="262">
        <v>0</v>
      </c>
      <c r="HV14" s="261">
        <v>0</v>
      </c>
      <c r="HW14" s="261">
        <v>0</v>
      </c>
      <c r="HX14" s="262">
        <v>0</v>
      </c>
      <c r="HY14" s="261">
        <v>0</v>
      </c>
      <c r="HZ14" s="261">
        <v>0</v>
      </c>
      <c r="IA14" s="262">
        <v>0</v>
      </c>
      <c r="IB14" s="261">
        <v>0</v>
      </c>
      <c r="IC14" s="261">
        <v>0</v>
      </c>
      <c r="ID14" s="262">
        <v>0</v>
      </c>
      <c r="IE14" s="261">
        <v>0</v>
      </c>
      <c r="IF14" s="261">
        <v>0</v>
      </c>
      <c r="IG14" s="262">
        <v>0</v>
      </c>
      <c r="IH14" s="261">
        <v>0</v>
      </c>
      <c r="II14" s="261">
        <v>0</v>
      </c>
      <c r="IJ14" s="262">
        <v>0</v>
      </c>
      <c r="IK14" s="261">
        <v>0</v>
      </c>
      <c r="IL14" s="261">
        <v>0</v>
      </c>
      <c r="IM14" s="262">
        <v>0</v>
      </c>
      <c r="IN14" s="261">
        <v>0</v>
      </c>
      <c r="IO14" s="261">
        <v>0</v>
      </c>
      <c r="IP14" s="262">
        <v>0</v>
      </c>
      <c r="IQ14" s="261">
        <v>0</v>
      </c>
      <c r="IR14" s="261">
        <v>0</v>
      </c>
      <c r="IS14" s="262">
        <v>0</v>
      </c>
      <c r="IT14" s="261">
        <v>0</v>
      </c>
      <c r="IU14" s="261">
        <v>0</v>
      </c>
      <c r="IV14" s="262">
        <v>0</v>
      </c>
      <c r="IW14" s="261">
        <v>0</v>
      </c>
      <c r="IX14" s="261">
        <v>0</v>
      </c>
      <c r="IY14" s="262">
        <v>0</v>
      </c>
      <c r="IZ14" s="261">
        <v>0</v>
      </c>
      <c r="JA14" s="261">
        <v>0</v>
      </c>
      <c r="JB14" s="262">
        <v>0</v>
      </c>
      <c r="JC14" s="261">
        <v>949.78899999999999</v>
      </c>
      <c r="JD14" s="261">
        <v>324.08100000000002</v>
      </c>
      <c r="JE14" s="262">
        <v>1.9307148521511599</v>
      </c>
      <c r="JF14" s="261">
        <v>20799.41</v>
      </c>
      <c r="JG14" s="261">
        <v>21988.245999999999</v>
      </c>
      <c r="JH14" s="262">
        <v>-5.4066886462885599E-2</v>
      </c>
      <c r="JI14" s="261">
        <v>22163.154999999999</v>
      </c>
      <c r="JJ14" s="261">
        <v>22705.350999999999</v>
      </c>
      <c r="JK14" s="263">
        <v>-2.3879657266694498E-2</v>
      </c>
      <c r="JL14" s="261">
        <v>0</v>
      </c>
      <c r="JM14" s="261">
        <v>0</v>
      </c>
      <c r="JN14" s="262">
        <v>0</v>
      </c>
      <c r="JO14" s="261">
        <v>0</v>
      </c>
      <c r="JP14" s="261">
        <v>0</v>
      </c>
      <c r="JQ14" s="262">
        <v>0</v>
      </c>
      <c r="JR14" s="261">
        <v>0</v>
      </c>
      <c r="JS14" s="261">
        <v>0</v>
      </c>
      <c r="JT14" s="262">
        <v>0</v>
      </c>
      <c r="JU14" s="261">
        <v>0</v>
      </c>
      <c r="JV14" s="261">
        <v>0</v>
      </c>
      <c r="JW14" s="262">
        <v>0</v>
      </c>
      <c r="JX14" s="261">
        <v>0</v>
      </c>
      <c r="JY14" s="261">
        <v>0</v>
      </c>
      <c r="JZ14" s="262">
        <v>0</v>
      </c>
      <c r="KA14" s="261">
        <v>0</v>
      </c>
      <c r="KB14" s="261">
        <v>0</v>
      </c>
      <c r="KC14" s="262">
        <v>0</v>
      </c>
      <c r="KD14" s="261">
        <v>0</v>
      </c>
      <c r="KE14" s="261">
        <v>0</v>
      </c>
      <c r="KF14" s="262">
        <v>0</v>
      </c>
      <c r="KG14" s="261">
        <v>0</v>
      </c>
      <c r="KH14" s="261">
        <v>0</v>
      </c>
      <c r="KI14" s="262">
        <v>0</v>
      </c>
      <c r="KJ14" s="261">
        <v>0</v>
      </c>
      <c r="KK14" s="261">
        <v>0</v>
      </c>
      <c r="KL14" s="262">
        <v>0</v>
      </c>
      <c r="KM14" s="261">
        <v>0</v>
      </c>
      <c r="KN14" s="261">
        <v>0</v>
      </c>
      <c r="KO14" s="262">
        <v>0</v>
      </c>
      <c r="KP14" s="261">
        <v>0</v>
      </c>
      <c r="KQ14" s="261">
        <v>0</v>
      </c>
      <c r="KR14" s="262">
        <v>0</v>
      </c>
      <c r="KS14" s="261">
        <v>0</v>
      </c>
      <c r="KT14" s="261">
        <v>0</v>
      </c>
      <c r="KU14" s="262">
        <v>0</v>
      </c>
      <c r="KV14" s="261">
        <v>1389.2670000000001</v>
      </c>
      <c r="KW14" s="261">
        <v>1363.7449999999999</v>
      </c>
      <c r="KX14" s="262">
        <v>1.87146424001556E-2</v>
      </c>
      <c r="KY14" s="261">
        <v>22188.677</v>
      </c>
      <c r="KZ14" s="261">
        <v>23351.991000000002</v>
      </c>
      <c r="LA14" s="262">
        <v>-4.9816480316389397E-2</v>
      </c>
      <c r="LB14" s="261">
        <v>22188.677</v>
      </c>
      <c r="LC14" s="261">
        <v>23351.991000000002</v>
      </c>
      <c r="LD14" s="263">
        <v>-4.9816480316389397E-2</v>
      </c>
      <c r="LE14" s="261">
        <v>0</v>
      </c>
      <c r="LF14" s="261">
        <v>0</v>
      </c>
      <c r="LG14" s="262">
        <v>0</v>
      </c>
      <c r="LH14" s="261">
        <v>0</v>
      </c>
      <c r="LI14" s="261">
        <v>0</v>
      </c>
      <c r="LJ14" s="262">
        <v>0</v>
      </c>
      <c r="LK14" s="261">
        <v>0</v>
      </c>
      <c r="LL14" s="261">
        <v>0</v>
      </c>
      <c r="LM14" s="262">
        <v>0</v>
      </c>
      <c r="LN14" s="261">
        <v>0</v>
      </c>
      <c r="LO14" s="261">
        <v>0</v>
      </c>
      <c r="LP14" s="262">
        <v>0</v>
      </c>
      <c r="LQ14" s="261">
        <v>0</v>
      </c>
      <c r="LR14" s="261">
        <v>0</v>
      </c>
      <c r="LS14" s="262">
        <v>0</v>
      </c>
      <c r="LT14" s="261">
        <v>0</v>
      </c>
      <c r="LU14" s="261">
        <v>0</v>
      </c>
      <c r="LV14" s="262">
        <v>0</v>
      </c>
      <c r="LW14" s="261">
        <v>0</v>
      </c>
      <c r="LX14" s="261">
        <v>0</v>
      </c>
      <c r="LY14" s="262">
        <v>0</v>
      </c>
      <c r="LZ14" s="261">
        <v>0</v>
      </c>
      <c r="MA14" s="261">
        <v>0</v>
      </c>
      <c r="MB14" s="262">
        <v>0</v>
      </c>
      <c r="MC14" s="261">
        <v>0</v>
      </c>
      <c r="MD14" s="261">
        <v>0</v>
      </c>
      <c r="ME14" s="262">
        <v>0</v>
      </c>
      <c r="MF14" s="261">
        <v>0</v>
      </c>
      <c r="MG14" s="261">
        <v>0</v>
      </c>
      <c r="MH14" s="262">
        <v>0</v>
      </c>
      <c r="MI14" s="261">
        <v>0</v>
      </c>
      <c r="MJ14" s="261">
        <v>0</v>
      </c>
      <c r="MK14" s="262">
        <v>0</v>
      </c>
      <c r="ML14" s="261">
        <v>0</v>
      </c>
      <c r="MM14" s="261">
        <v>0</v>
      </c>
      <c r="MN14" s="262">
        <v>0</v>
      </c>
      <c r="MO14" s="261">
        <v>1235.54</v>
      </c>
      <c r="MP14" s="261">
        <v>1249.5550000000001</v>
      </c>
      <c r="MQ14" s="262">
        <v>-1.12159928934702E-2</v>
      </c>
      <c r="MR14" s="261">
        <v>1235.54</v>
      </c>
      <c r="MS14" s="261">
        <v>1249.5550000000001</v>
      </c>
      <c r="MT14" s="262">
        <v>-1.12159928934702E-2</v>
      </c>
      <c r="MU14" s="261">
        <v>22174.662</v>
      </c>
      <c r="MV14" s="261">
        <v>23862.258000000002</v>
      </c>
      <c r="MW14" s="263">
        <v>-7.0722393496877006E-2</v>
      </c>
      <c r="MX14" s="261">
        <v>0</v>
      </c>
      <c r="MY14" s="261">
        <v>0</v>
      </c>
      <c r="MZ14" s="262">
        <v>0</v>
      </c>
      <c r="NA14" s="261">
        <v>0</v>
      </c>
      <c r="NB14" s="261">
        <v>0</v>
      </c>
      <c r="NC14" s="262">
        <v>0</v>
      </c>
      <c r="ND14" s="261">
        <v>0</v>
      </c>
      <c r="NE14" s="261">
        <v>0</v>
      </c>
      <c r="NF14" s="262">
        <v>0</v>
      </c>
      <c r="NG14" s="261">
        <v>0</v>
      </c>
      <c r="NH14" s="261">
        <v>0</v>
      </c>
      <c r="NI14" s="262">
        <v>0</v>
      </c>
      <c r="NJ14" s="261">
        <v>0</v>
      </c>
      <c r="NK14" s="261">
        <v>0</v>
      </c>
      <c r="NL14" s="262">
        <v>0</v>
      </c>
      <c r="NM14" s="261">
        <v>0</v>
      </c>
      <c r="NN14" s="261">
        <v>0</v>
      </c>
      <c r="NO14" s="262">
        <v>0</v>
      </c>
      <c r="NP14" s="261">
        <v>0</v>
      </c>
      <c r="NQ14" s="261">
        <v>0</v>
      </c>
      <c r="NR14" s="262">
        <v>0</v>
      </c>
      <c r="NS14" s="261">
        <v>0</v>
      </c>
      <c r="NT14" s="261">
        <v>0</v>
      </c>
      <c r="NU14" s="262">
        <v>0</v>
      </c>
      <c r="NV14" s="261">
        <v>0</v>
      </c>
      <c r="NW14" s="261">
        <v>0</v>
      </c>
      <c r="NX14" s="262">
        <v>0</v>
      </c>
      <c r="NY14" s="261">
        <v>0</v>
      </c>
      <c r="NZ14" s="261">
        <v>0</v>
      </c>
      <c r="OA14" s="262">
        <v>0</v>
      </c>
      <c r="OB14" s="261">
        <v>0</v>
      </c>
      <c r="OC14" s="261">
        <v>0</v>
      </c>
      <c r="OD14" s="262">
        <v>0</v>
      </c>
      <c r="OE14" s="261">
        <v>0</v>
      </c>
      <c r="OF14" s="261">
        <v>0</v>
      </c>
      <c r="OG14" s="262">
        <v>0</v>
      </c>
      <c r="OH14" s="261">
        <v>1253.078</v>
      </c>
      <c r="OI14" s="261">
        <v>1142.9780000000001</v>
      </c>
      <c r="OJ14" s="262">
        <v>9.6327313386609298E-2</v>
      </c>
      <c r="OK14" s="261">
        <v>2488.6179999999999</v>
      </c>
      <c r="OL14" s="261">
        <v>2392.5329999999999</v>
      </c>
      <c r="OM14" s="262">
        <v>4.0160365604152599E-2</v>
      </c>
      <c r="ON14" s="261">
        <v>22284.761999999999</v>
      </c>
      <c r="OO14" s="261">
        <v>23555.37</v>
      </c>
      <c r="OP14" s="263">
        <v>-5.3941330575575798E-2</v>
      </c>
      <c r="OQ14" s="261">
        <v>0</v>
      </c>
      <c r="OR14" s="261">
        <v>0</v>
      </c>
      <c r="OS14" s="262">
        <v>0</v>
      </c>
      <c r="OT14" s="261">
        <v>0</v>
      </c>
      <c r="OU14" s="261">
        <v>0</v>
      </c>
      <c r="OV14" s="262">
        <v>0</v>
      </c>
      <c r="OW14" s="261">
        <v>0</v>
      </c>
      <c r="OX14" s="261">
        <v>0</v>
      </c>
      <c r="OY14" s="262">
        <v>0</v>
      </c>
      <c r="OZ14" s="261">
        <v>0</v>
      </c>
      <c r="PA14" s="261">
        <v>0</v>
      </c>
      <c r="PB14" s="262">
        <v>0</v>
      </c>
      <c r="PC14" s="261">
        <v>0</v>
      </c>
      <c r="PD14" s="261">
        <v>0</v>
      </c>
      <c r="PE14" s="262">
        <v>0</v>
      </c>
      <c r="PF14" s="261">
        <v>0</v>
      </c>
      <c r="PG14" s="261">
        <v>0</v>
      </c>
      <c r="PH14" s="262">
        <v>0</v>
      </c>
      <c r="PI14" s="261">
        <v>0</v>
      </c>
      <c r="PJ14" s="261">
        <v>0</v>
      </c>
      <c r="PK14" s="262">
        <v>0</v>
      </c>
      <c r="PL14" s="261">
        <v>0</v>
      </c>
      <c r="PM14" s="261">
        <v>0</v>
      </c>
      <c r="PN14" s="262">
        <v>0</v>
      </c>
      <c r="PO14" s="261">
        <v>0</v>
      </c>
      <c r="PP14" s="261">
        <v>0</v>
      </c>
      <c r="PQ14" s="262">
        <v>0</v>
      </c>
      <c r="PR14" s="261">
        <v>0</v>
      </c>
      <c r="PS14" s="261">
        <v>0</v>
      </c>
      <c r="PT14" s="262">
        <v>0</v>
      </c>
      <c r="PU14" s="261">
        <v>0</v>
      </c>
      <c r="PV14" s="261">
        <v>0</v>
      </c>
      <c r="PW14" s="262">
        <v>0</v>
      </c>
      <c r="PX14" s="261">
        <v>0</v>
      </c>
      <c r="PY14" s="261">
        <v>0</v>
      </c>
      <c r="PZ14" s="262">
        <v>0</v>
      </c>
      <c r="QA14" s="261">
        <v>2036.778</v>
      </c>
      <c r="QB14" s="261">
        <v>1241.904</v>
      </c>
      <c r="QC14" s="262">
        <v>0.64004464113168202</v>
      </c>
      <c r="QD14" s="261">
        <v>4525.3959999999997</v>
      </c>
      <c r="QE14" s="261">
        <v>3634.4369999999999</v>
      </c>
      <c r="QF14" s="262">
        <v>0.245143608212221</v>
      </c>
      <c r="QG14" s="261">
        <v>23079.635999999999</v>
      </c>
      <c r="QH14" s="261">
        <v>23171.174999999999</v>
      </c>
      <c r="QI14" s="263">
        <v>-3.95055494596198E-3</v>
      </c>
      <c r="QJ14" s="261">
        <v>0</v>
      </c>
      <c r="QK14" s="261">
        <v>0</v>
      </c>
      <c r="QL14" s="262">
        <v>0</v>
      </c>
      <c r="QM14" s="261">
        <v>0</v>
      </c>
      <c r="QN14" s="261">
        <v>0</v>
      </c>
      <c r="QO14" s="262">
        <v>0</v>
      </c>
      <c r="QP14" s="261">
        <v>0</v>
      </c>
      <c r="QQ14" s="261">
        <v>0</v>
      </c>
      <c r="QR14" s="262">
        <v>0</v>
      </c>
      <c r="QS14" s="261">
        <v>0</v>
      </c>
      <c r="QT14" s="261">
        <v>0</v>
      </c>
      <c r="QU14" s="262">
        <v>0</v>
      </c>
      <c r="QV14" s="261">
        <v>0</v>
      </c>
      <c r="QW14" s="261">
        <v>0</v>
      </c>
      <c r="QX14" s="262">
        <v>0</v>
      </c>
      <c r="QY14" s="261">
        <v>0</v>
      </c>
      <c r="QZ14" s="261">
        <v>0</v>
      </c>
      <c r="RA14" s="262">
        <v>0</v>
      </c>
      <c r="RB14" s="261">
        <v>0</v>
      </c>
      <c r="RC14" s="261">
        <v>0</v>
      </c>
      <c r="RD14" s="262">
        <v>0</v>
      </c>
      <c r="RE14" s="261">
        <v>0</v>
      </c>
      <c r="RF14" s="261">
        <v>0</v>
      </c>
      <c r="RG14" s="262">
        <v>0</v>
      </c>
      <c r="RH14" s="261">
        <v>0</v>
      </c>
      <c r="RI14" s="261">
        <v>0</v>
      </c>
      <c r="RJ14" s="262">
        <v>0</v>
      </c>
      <c r="RK14" s="261">
        <v>0</v>
      </c>
      <c r="RL14" s="261">
        <v>0</v>
      </c>
      <c r="RM14" s="262">
        <v>0</v>
      </c>
      <c r="RN14" s="261">
        <v>0</v>
      </c>
      <c r="RO14" s="261">
        <v>0</v>
      </c>
      <c r="RP14" s="262">
        <v>0</v>
      </c>
      <c r="RQ14" s="261">
        <v>0</v>
      </c>
      <c r="RR14" s="261">
        <v>0</v>
      </c>
      <c r="RS14" s="262">
        <v>0</v>
      </c>
      <c r="RT14" s="261">
        <v>1462.3150000000001</v>
      </c>
      <c r="RU14" s="261">
        <v>1763.2380000000001</v>
      </c>
      <c r="RV14" s="262">
        <v>-0.17066499247407299</v>
      </c>
      <c r="RW14" s="261">
        <v>5987.7110000000002</v>
      </c>
      <c r="RX14" s="261">
        <v>5397.6750000000002</v>
      </c>
      <c r="RY14" s="262">
        <v>0.109312991241599</v>
      </c>
      <c r="RZ14" s="261">
        <v>22778.713</v>
      </c>
      <c r="SA14" s="261">
        <v>23612.008000000002</v>
      </c>
      <c r="SB14" s="263">
        <v>-3.5291153552040197E-2</v>
      </c>
      <c r="SC14" s="261">
        <v>0</v>
      </c>
      <c r="SD14" s="261">
        <v>0</v>
      </c>
      <c r="SE14" s="262">
        <v>0</v>
      </c>
      <c r="SF14" s="261">
        <v>0</v>
      </c>
      <c r="SG14" s="261">
        <v>0</v>
      </c>
      <c r="SH14" s="262">
        <v>0</v>
      </c>
      <c r="SI14" s="261">
        <v>0</v>
      </c>
      <c r="SJ14" s="261">
        <v>0</v>
      </c>
      <c r="SK14" s="262">
        <v>0</v>
      </c>
      <c r="SL14" s="261">
        <v>0</v>
      </c>
      <c r="SM14" s="261">
        <v>0</v>
      </c>
      <c r="SN14" s="262">
        <v>0</v>
      </c>
      <c r="SO14" s="261">
        <v>0</v>
      </c>
      <c r="SP14" s="261">
        <v>0</v>
      </c>
      <c r="SQ14" s="262">
        <v>0</v>
      </c>
      <c r="SR14" s="261">
        <v>0</v>
      </c>
      <c r="SS14" s="261">
        <v>0</v>
      </c>
      <c r="ST14" s="262">
        <v>0</v>
      </c>
      <c r="SU14" s="261">
        <v>0</v>
      </c>
      <c r="SV14" s="261">
        <v>0</v>
      </c>
      <c r="SW14" s="262">
        <v>0</v>
      </c>
      <c r="SX14" s="261">
        <v>0</v>
      </c>
      <c r="SY14" s="261">
        <v>0</v>
      </c>
      <c r="SZ14" s="262">
        <v>0</v>
      </c>
      <c r="TA14" s="261">
        <v>0</v>
      </c>
      <c r="TB14" s="261">
        <v>0</v>
      </c>
      <c r="TC14" s="262">
        <v>0</v>
      </c>
      <c r="TD14" s="261">
        <v>0</v>
      </c>
      <c r="TE14" s="261">
        <v>0</v>
      </c>
      <c r="TF14" s="262">
        <v>0</v>
      </c>
      <c r="TG14" s="261">
        <v>0</v>
      </c>
      <c r="TH14" s="261">
        <v>0</v>
      </c>
      <c r="TI14" s="262">
        <v>0</v>
      </c>
      <c r="TJ14" s="261">
        <v>0</v>
      </c>
      <c r="TK14" s="261">
        <v>0</v>
      </c>
      <c r="TL14" s="262">
        <v>0</v>
      </c>
      <c r="TM14" s="261">
        <v>1658.83</v>
      </c>
      <c r="TN14" s="261">
        <v>1701.4649999999999</v>
      </c>
      <c r="TO14" s="262">
        <v>-2.50578178217007E-2</v>
      </c>
      <c r="TP14" s="261">
        <v>7646.5410000000002</v>
      </c>
      <c r="TQ14" s="261">
        <v>7099.14</v>
      </c>
      <c r="TR14" s="262">
        <v>7.7108072245370501E-2</v>
      </c>
      <c r="TS14" s="261">
        <v>22736.078000000001</v>
      </c>
      <c r="TT14" s="261">
        <v>23056.823</v>
      </c>
      <c r="TU14" s="263">
        <v>-1.3911066585366E-2</v>
      </c>
      <c r="TV14" s="261">
        <v>0</v>
      </c>
      <c r="TW14" s="261">
        <v>0</v>
      </c>
      <c r="TX14" s="262">
        <v>0</v>
      </c>
      <c r="TY14" s="261">
        <v>0</v>
      </c>
      <c r="TZ14" s="261">
        <v>0</v>
      </c>
      <c r="UA14" s="262">
        <v>0</v>
      </c>
      <c r="UB14" s="261">
        <v>0</v>
      </c>
      <c r="UC14" s="261">
        <v>0</v>
      </c>
      <c r="UD14" s="262">
        <v>0</v>
      </c>
      <c r="UE14" s="261">
        <v>0</v>
      </c>
      <c r="UF14" s="261">
        <v>0</v>
      </c>
      <c r="UG14" s="262">
        <v>0</v>
      </c>
      <c r="UH14" s="261">
        <v>0</v>
      </c>
      <c r="UI14" s="261">
        <v>0</v>
      </c>
      <c r="UJ14" s="262">
        <v>0</v>
      </c>
      <c r="UK14" s="261">
        <v>0</v>
      </c>
      <c r="UL14" s="261">
        <v>0</v>
      </c>
      <c r="UM14" s="262">
        <v>0</v>
      </c>
      <c r="UN14" s="261">
        <v>0</v>
      </c>
      <c r="UO14" s="261">
        <v>0</v>
      </c>
      <c r="UP14" s="262">
        <v>0</v>
      </c>
      <c r="UQ14" s="261">
        <v>0</v>
      </c>
      <c r="UR14" s="261">
        <v>0</v>
      </c>
      <c r="US14" s="262">
        <v>0</v>
      </c>
      <c r="UT14" s="261">
        <v>0</v>
      </c>
      <c r="UU14" s="261">
        <v>0</v>
      </c>
      <c r="UV14" s="262">
        <v>0</v>
      </c>
      <c r="UW14" s="261">
        <v>0</v>
      </c>
      <c r="UX14" s="261">
        <v>0</v>
      </c>
      <c r="UY14" s="262">
        <v>0</v>
      </c>
      <c r="UZ14" s="261">
        <v>0</v>
      </c>
      <c r="VA14" s="261">
        <v>0</v>
      </c>
      <c r="VB14" s="262">
        <v>0</v>
      </c>
      <c r="VC14" s="261">
        <v>0</v>
      </c>
      <c r="VD14" s="261">
        <v>0</v>
      </c>
      <c r="VE14" s="262">
        <v>0</v>
      </c>
      <c r="VF14" s="261">
        <v>2755.1959999999999</v>
      </c>
      <c r="VG14" s="261">
        <v>2952.8670000000002</v>
      </c>
      <c r="VH14" s="262">
        <v>-6.6942060038599899E-2</v>
      </c>
      <c r="VI14" s="261">
        <v>10401.736999999999</v>
      </c>
      <c r="VJ14" s="261">
        <v>10052.007</v>
      </c>
      <c r="VK14" s="262">
        <v>3.4792056949423097E-2</v>
      </c>
      <c r="VL14" s="261">
        <v>22538.406999999999</v>
      </c>
      <c r="VM14" s="261">
        <v>23368.035</v>
      </c>
      <c r="VN14" s="263">
        <v>-3.5502685613060803E-2</v>
      </c>
    </row>
    <row r="15" spans="1:586">
      <c r="A15" s="267" t="s">
        <v>5</v>
      </c>
      <c r="B15" s="261">
        <v>3077219.34</v>
      </c>
      <c r="C15" s="261">
        <v>4309221.659</v>
      </c>
      <c r="D15" s="262">
        <v>-0.28589903618137402</v>
      </c>
      <c r="E15" s="261">
        <v>28504757.237</v>
      </c>
      <c r="F15" s="261">
        <v>31626070.703000002</v>
      </c>
      <c r="G15" s="262">
        <v>-9.8694317587290997E-2</v>
      </c>
      <c r="H15" s="261">
        <v>56382453.835000001</v>
      </c>
      <c r="I15" s="261">
        <v>61294815.397</v>
      </c>
      <c r="J15" s="262">
        <v>-8.0143182260736995E-2</v>
      </c>
      <c r="K15" s="261">
        <v>0</v>
      </c>
      <c r="L15" s="261">
        <v>0</v>
      </c>
      <c r="M15" s="262">
        <v>0</v>
      </c>
      <c r="N15" s="261">
        <v>0</v>
      </c>
      <c r="O15" s="261">
        <v>0</v>
      </c>
      <c r="P15" s="262">
        <v>0</v>
      </c>
      <c r="Q15" s="261">
        <v>0</v>
      </c>
      <c r="R15" s="261">
        <v>0</v>
      </c>
      <c r="S15" s="262">
        <v>0</v>
      </c>
      <c r="T15" s="261">
        <v>0</v>
      </c>
      <c r="U15" s="261">
        <v>0</v>
      </c>
      <c r="V15" s="262">
        <v>0</v>
      </c>
      <c r="W15" s="261">
        <v>0</v>
      </c>
      <c r="X15" s="261">
        <v>0</v>
      </c>
      <c r="Y15" s="262">
        <v>0</v>
      </c>
      <c r="Z15" s="261">
        <v>0</v>
      </c>
      <c r="AA15" s="261">
        <v>0</v>
      </c>
      <c r="AB15" s="262">
        <v>0</v>
      </c>
      <c r="AC15" s="261">
        <v>0</v>
      </c>
      <c r="AD15" s="261">
        <v>0</v>
      </c>
      <c r="AE15" s="262">
        <v>0</v>
      </c>
      <c r="AF15" s="261">
        <v>0</v>
      </c>
      <c r="AG15" s="261">
        <v>0</v>
      </c>
      <c r="AH15" s="262">
        <v>0</v>
      </c>
      <c r="AI15" s="261">
        <v>0</v>
      </c>
      <c r="AJ15" s="261">
        <v>235.57400000000001</v>
      </c>
      <c r="AK15" s="262">
        <v>-1</v>
      </c>
      <c r="AL15" s="261">
        <v>143551.42300000001</v>
      </c>
      <c r="AM15" s="261">
        <v>129811.80100000001</v>
      </c>
      <c r="AN15" s="262">
        <v>0.10584262674238699</v>
      </c>
      <c r="AO15" s="261">
        <v>628850.728</v>
      </c>
      <c r="AP15" s="261">
        <v>622404.777</v>
      </c>
      <c r="AQ15" s="262">
        <v>1.03565255894558E-2</v>
      </c>
      <c r="AR15" s="261">
        <v>1414899.9839999999</v>
      </c>
      <c r="AS15" s="261">
        <v>1342880.909</v>
      </c>
      <c r="AT15" s="263">
        <v>5.3630276904919498E-2</v>
      </c>
      <c r="AU15" s="261">
        <v>4437677.5130000003</v>
      </c>
      <c r="AV15" s="261">
        <v>4060674.8659999999</v>
      </c>
      <c r="AW15" s="262">
        <v>9.2842362277423499E-2</v>
      </c>
      <c r="AX15" s="261">
        <v>32942434.75</v>
      </c>
      <c r="AY15" s="261">
        <v>35686745.568999998</v>
      </c>
      <c r="AZ15" s="262">
        <v>-7.6900002374660298E-2</v>
      </c>
      <c r="BA15" s="261">
        <v>56759456.482000001</v>
      </c>
      <c r="BB15" s="261">
        <v>61703776.438000001</v>
      </c>
      <c r="BC15" s="262">
        <v>-8.0129940846782002E-2</v>
      </c>
      <c r="BD15" s="261">
        <v>0</v>
      </c>
      <c r="BE15" s="261">
        <v>0</v>
      </c>
      <c r="BF15" s="262">
        <v>0</v>
      </c>
      <c r="BG15" s="261">
        <v>0</v>
      </c>
      <c r="BH15" s="261">
        <v>0</v>
      </c>
      <c r="BI15" s="262">
        <v>0</v>
      </c>
      <c r="BJ15" s="261">
        <v>0</v>
      </c>
      <c r="BK15" s="261">
        <v>0</v>
      </c>
      <c r="BL15" s="262">
        <v>0</v>
      </c>
      <c r="BM15" s="261">
        <v>0</v>
      </c>
      <c r="BN15" s="261">
        <v>0</v>
      </c>
      <c r="BO15" s="262">
        <v>0</v>
      </c>
      <c r="BP15" s="261">
        <v>0</v>
      </c>
      <c r="BQ15" s="261">
        <v>0</v>
      </c>
      <c r="BR15" s="262">
        <v>0</v>
      </c>
      <c r="BS15" s="261">
        <v>0</v>
      </c>
      <c r="BT15" s="261">
        <v>0</v>
      </c>
      <c r="BU15" s="262">
        <v>0</v>
      </c>
      <c r="BV15" s="261">
        <v>0</v>
      </c>
      <c r="BW15" s="261">
        <v>0</v>
      </c>
      <c r="BX15" s="262">
        <v>0</v>
      </c>
      <c r="BY15" s="261">
        <v>0</v>
      </c>
      <c r="BZ15" s="261">
        <v>0</v>
      </c>
      <c r="CA15" s="262">
        <v>0</v>
      </c>
      <c r="CB15" s="261">
        <v>0</v>
      </c>
      <c r="CC15" s="261">
        <v>117.009</v>
      </c>
      <c r="CD15" s="262">
        <v>-1</v>
      </c>
      <c r="CE15" s="261">
        <v>166964.56099999999</v>
      </c>
      <c r="CF15" s="261">
        <v>169341.69699999999</v>
      </c>
      <c r="CG15" s="262">
        <v>-1.40375113874051E-2</v>
      </c>
      <c r="CH15" s="261">
        <v>795815.28899999999</v>
      </c>
      <c r="CI15" s="261">
        <v>791746.47400000005</v>
      </c>
      <c r="CJ15" s="262">
        <v>5.1390377268670301E-3</v>
      </c>
      <c r="CK15" s="261">
        <v>1412522.848</v>
      </c>
      <c r="CL15" s="261">
        <v>1302621.0989999999</v>
      </c>
      <c r="CM15" s="263">
        <v>8.4369698206462201E-2</v>
      </c>
      <c r="CN15" s="261">
        <v>3605133.077</v>
      </c>
      <c r="CO15" s="261">
        <v>3750972.7420000001</v>
      </c>
      <c r="CP15" s="262">
        <v>-3.8880491816701099E-2</v>
      </c>
      <c r="CQ15" s="261">
        <v>36547567.827</v>
      </c>
      <c r="CR15" s="261">
        <v>39437718.310999997</v>
      </c>
      <c r="CS15" s="262">
        <v>-7.3283917218757405E-2</v>
      </c>
      <c r="CT15" s="261">
        <v>56613616.817000002</v>
      </c>
      <c r="CU15" s="261">
        <v>61357345.946999997</v>
      </c>
      <c r="CV15" s="262">
        <v>-7.7313140860062496E-2</v>
      </c>
      <c r="CW15" s="261">
        <v>0</v>
      </c>
      <c r="CX15" s="261">
        <v>0</v>
      </c>
      <c r="CY15" s="262">
        <v>0</v>
      </c>
      <c r="CZ15" s="261">
        <v>0</v>
      </c>
      <c r="DA15" s="261">
        <v>0</v>
      </c>
      <c r="DB15" s="262">
        <v>0</v>
      </c>
      <c r="DC15" s="261">
        <v>0</v>
      </c>
      <c r="DD15" s="261">
        <v>0</v>
      </c>
      <c r="DE15" s="262">
        <v>0</v>
      </c>
      <c r="DF15" s="261">
        <v>0</v>
      </c>
      <c r="DG15" s="261">
        <v>0</v>
      </c>
      <c r="DH15" s="262">
        <v>0</v>
      </c>
      <c r="DI15" s="261">
        <v>0</v>
      </c>
      <c r="DJ15" s="261">
        <v>0</v>
      </c>
      <c r="DK15" s="262">
        <v>0</v>
      </c>
      <c r="DL15" s="261">
        <v>0</v>
      </c>
      <c r="DM15" s="261">
        <v>0</v>
      </c>
      <c r="DN15" s="262">
        <v>0</v>
      </c>
      <c r="DO15" s="261">
        <v>0</v>
      </c>
      <c r="DP15" s="261">
        <v>0</v>
      </c>
      <c r="DQ15" s="262">
        <v>0</v>
      </c>
      <c r="DR15" s="261">
        <v>0</v>
      </c>
      <c r="DS15" s="261">
        <v>0</v>
      </c>
      <c r="DT15" s="262">
        <v>0</v>
      </c>
      <c r="DU15" s="261">
        <v>0</v>
      </c>
      <c r="DV15" s="261">
        <v>19.088000000000001</v>
      </c>
      <c r="DW15" s="262">
        <v>-1</v>
      </c>
      <c r="DX15" s="261">
        <v>149445.853</v>
      </c>
      <c r="DY15" s="261">
        <v>210634.63</v>
      </c>
      <c r="DZ15" s="262">
        <v>-0.29049723210281198</v>
      </c>
      <c r="EA15" s="261">
        <v>945261.14199999999</v>
      </c>
      <c r="EB15" s="261">
        <v>1002381.1040000001</v>
      </c>
      <c r="EC15" s="262">
        <v>-5.6984276511261998E-2</v>
      </c>
      <c r="ED15" s="261">
        <v>1351334.071</v>
      </c>
      <c r="EE15" s="261">
        <v>1334850.32</v>
      </c>
      <c r="EF15" s="263">
        <v>1.23487635677384E-2</v>
      </c>
      <c r="EG15" s="261">
        <v>3947648.7540000002</v>
      </c>
      <c r="EH15" s="261">
        <v>4497110.4730000002</v>
      </c>
      <c r="EI15" s="262">
        <v>-0.122181058770713</v>
      </c>
      <c r="EJ15" s="261">
        <v>40495216.581</v>
      </c>
      <c r="EK15" s="261">
        <v>43934828.784000002</v>
      </c>
      <c r="EL15" s="262">
        <v>-7.8288963407833395E-2</v>
      </c>
      <c r="EM15" s="261">
        <v>56064155.097999997</v>
      </c>
      <c r="EN15" s="261">
        <v>62358833.792999998</v>
      </c>
      <c r="EO15" s="262">
        <v>-0.100942854638609</v>
      </c>
      <c r="EP15" s="261">
        <v>0</v>
      </c>
      <c r="EQ15" s="261">
        <v>0</v>
      </c>
      <c r="ER15" s="262">
        <v>0</v>
      </c>
      <c r="ES15" s="261">
        <v>0</v>
      </c>
      <c r="ET15" s="261">
        <v>0</v>
      </c>
      <c r="EU15" s="262">
        <v>0</v>
      </c>
      <c r="EV15" s="261">
        <v>0</v>
      </c>
      <c r="EW15" s="261">
        <v>0</v>
      </c>
      <c r="EX15" s="262">
        <v>0</v>
      </c>
      <c r="EY15" s="261">
        <v>0</v>
      </c>
      <c r="EZ15" s="261">
        <v>0</v>
      </c>
      <c r="FA15" s="262">
        <v>0</v>
      </c>
      <c r="FB15" s="261">
        <v>0</v>
      </c>
      <c r="FC15" s="261">
        <v>0</v>
      </c>
      <c r="FD15" s="262">
        <v>0</v>
      </c>
      <c r="FE15" s="261">
        <v>0</v>
      </c>
      <c r="FF15" s="261">
        <v>0</v>
      </c>
      <c r="FG15" s="262">
        <v>0</v>
      </c>
      <c r="FH15" s="261">
        <v>0</v>
      </c>
      <c r="FI15" s="261">
        <v>0</v>
      </c>
      <c r="FJ15" s="262">
        <v>0</v>
      </c>
      <c r="FK15" s="261">
        <v>0</v>
      </c>
      <c r="FL15" s="261">
        <v>0</v>
      </c>
      <c r="FM15" s="262">
        <v>0</v>
      </c>
      <c r="FN15" s="261">
        <v>0</v>
      </c>
      <c r="FO15" s="261">
        <v>19.088000000000001</v>
      </c>
      <c r="FP15" s="262">
        <v>-1</v>
      </c>
      <c r="FQ15" s="261">
        <v>165436.144</v>
      </c>
      <c r="FR15" s="261">
        <v>148538.97899999999</v>
      </c>
      <c r="FS15" s="262">
        <v>0.113755763731216</v>
      </c>
      <c r="FT15" s="261">
        <v>1110697.2860000001</v>
      </c>
      <c r="FU15" s="261">
        <v>1150920.0830000001</v>
      </c>
      <c r="FV15" s="262">
        <v>-3.4948383987839199E-2</v>
      </c>
      <c r="FW15" s="261">
        <v>1368231.236</v>
      </c>
      <c r="FX15" s="261">
        <v>1380133.547</v>
      </c>
      <c r="FY15" s="263">
        <v>-8.6240284687464294E-3</v>
      </c>
      <c r="FZ15" s="261">
        <v>4485120.6150000002</v>
      </c>
      <c r="GA15" s="261">
        <v>5574735.2769999998</v>
      </c>
      <c r="GB15" s="262">
        <v>-0.19545585715890099</v>
      </c>
      <c r="GC15" s="261">
        <v>44980337.196000002</v>
      </c>
      <c r="GD15" s="261">
        <v>49509564.060999997</v>
      </c>
      <c r="GE15" s="262">
        <v>-9.1481857109862702E-2</v>
      </c>
      <c r="GF15" s="261">
        <v>54974540.435999997</v>
      </c>
      <c r="GG15" s="261">
        <v>62185404.983000003</v>
      </c>
      <c r="GH15" s="262">
        <v>-0.11595750721525901</v>
      </c>
      <c r="GI15" s="261">
        <v>0</v>
      </c>
      <c r="GJ15" s="261">
        <v>0</v>
      </c>
      <c r="GK15" s="262">
        <v>0</v>
      </c>
      <c r="GL15" s="261">
        <v>0</v>
      </c>
      <c r="GM15" s="261">
        <v>0</v>
      </c>
      <c r="GN15" s="262">
        <v>0</v>
      </c>
      <c r="GO15" s="261">
        <v>0</v>
      </c>
      <c r="GP15" s="261">
        <v>0</v>
      </c>
      <c r="GQ15" s="262">
        <v>0</v>
      </c>
      <c r="GR15" s="261">
        <v>0</v>
      </c>
      <c r="GS15" s="261">
        <v>0</v>
      </c>
      <c r="GT15" s="262">
        <v>0</v>
      </c>
      <c r="GU15" s="261">
        <v>0</v>
      </c>
      <c r="GV15" s="261">
        <v>0</v>
      </c>
      <c r="GW15" s="262">
        <v>0</v>
      </c>
      <c r="GX15" s="261">
        <v>0</v>
      </c>
      <c r="GY15" s="261">
        <v>0</v>
      </c>
      <c r="GZ15" s="262">
        <v>0</v>
      </c>
      <c r="HA15" s="261">
        <v>0</v>
      </c>
      <c r="HB15" s="261">
        <v>0</v>
      </c>
      <c r="HC15" s="262">
        <v>0</v>
      </c>
      <c r="HD15" s="261">
        <v>0</v>
      </c>
      <c r="HE15" s="261">
        <v>0</v>
      </c>
      <c r="HF15" s="262">
        <v>0</v>
      </c>
      <c r="HG15" s="261">
        <v>0</v>
      </c>
      <c r="HH15" s="261">
        <v>8.7279999999999998</v>
      </c>
      <c r="HI15" s="262">
        <v>-1</v>
      </c>
      <c r="HJ15" s="261">
        <v>84341.823999999993</v>
      </c>
      <c r="HK15" s="261">
        <v>116725.77099999999</v>
      </c>
      <c r="HL15" s="262">
        <v>-0.27743613704637698</v>
      </c>
      <c r="HM15" s="261">
        <v>1195039.1100000001</v>
      </c>
      <c r="HN15" s="261">
        <v>1267645.8540000001</v>
      </c>
      <c r="HO15" s="262">
        <v>-5.7276836247988801E-2</v>
      </c>
      <c r="HP15" s="261">
        <v>1335847.2890000001</v>
      </c>
      <c r="HQ15" s="261">
        <v>1439098.6610000001</v>
      </c>
      <c r="HR15" s="263">
        <v>-7.1747250413152705E-2</v>
      </c>
      <c r="HS15" s="261">
        <v>7058501.8890000004</v>
      </c>
      <c r="HT15" s="261">
        <v>4800347.7029999997</v>
      </c>
      <c r="HU15" s="262">
        <v>0.470414712790233</v>
      </c>
      <c r="HV15" s="261">
        <v>52038839.085000001</v>
      </c>
      <c r="HW15" s="261">
        <v>54309911.763999999</v>
      </c>
      <c r="HX15" s="262">
        <v>-4.1816909754314999E-2</v>
      </c>
      <c r="HY15" s="261">
        <v>57232694.622000001</v>
      </c>
      <c r="HZ15" s="261">
        <v>60079287.313000001</v>
      </c>
      <c r="IA15" s="262">
        <v>-4.7380600175396102E-2</v>
      </c>
      <c r="IB15" s="261">
        <v>0</v>
      </c>
      <c r="IC15" s="261">
        <v>0</v>
      </c>
      <c r="ID15" s="262">
        <v>0</v>
      </c>
      <c r="IE15" s="261">
        <v>0</v>
      </c>
      <c r="IF15" s="261">
        <v>0</v>
      </c>
      <c r="IG15" s="262">
        <v>0</v>
      </c>
      <c r="IH15" s="261">
        <v>0</v>
      </c>
      <c r="II15" s="261">
        <v>0</v>
      </c>
      <c r="IJ15" s="262">
        <v>0</v>
      </c>
      <c r="IK15" s="261">
        <v>0</v>
      </c>
      <c r="IL15" s="261">
        <v>0</v>
      </c>
      <c r="IM15" s="262">
        <v>0</v>
      </c>
      <c r="IN15" s="261">
        <v>0</v>
      </c>
      <c r="IO15" s="261">
        <v>0</v>
      </c>
      <c r="IP15" s="262">
        <v>0</v>
      </c>
      <c r="IQ15" s="261">
        <v>0</v>
      </c>
      <c r="IR15" s="261">
        <v>0</v>
      </c>
      <c r="IS15" s="262">
        <v>0</v>
      </c>
      <c r="IT15" s="261">
        <v>0</v>
      </c>
      <c r="IU15" s="261">
        <v>0</v>
      </c>
      <c r="IV15" s="262">
        <v>0</v>
      </c>
      <c r="IW15" s="261">
        <v>0</v>
      </c>
      <c r="IX15" s="261">
        <v>0</v>
      </c>
      <c r="IY15" s="262">
        <v>0</v>
      </c>
      <c r="IZ15" s="261">
        <v>0</v>
      </c>
      <c r="JA15" s="261">
        <v>0</v>
      </c>
      <c r="JB15" s="262">
        <v>0</v>
      </c>
      <c r="JC15" s="261">
        <v>95968.86</v>
      </c>
      <c r="JD15" s="261">
        <v>42203.436000000002</v>
      </c>
      <c r="JE15" s="262">
        <v>1.2739584521032801</v>
      </c>
      <c r="JF15" s="261">
        <v>1291007.97</v>
      </c>
      <c r="JG15" s="261">
        <v>1309849.29</v>
      </c>
      <c r="JH15" s="262">
        <v>-1.4384341881042E-2</v>
      </c>
      <c r="JI15" s="261">
        <v>1389612.713</v>
      </c>
      <c r="JJ15" s="261">
        <v>1380932.169</v>
      </c>
      <c r="JK15" s="263">
        <v>6.2860031758735797E-3</v>
      </c>
      <c r="JL15" s="261">
        <v>5344311.2640000004</v>
      </c>
      <c r="JM15" s="261">
        <v>5193855.5369999995</v>
      </c>
      <c r="JN15" s="262">
        <v>2.8968023066522401E-2</v>
      </c>
      <c r="JO15" s="261">
        <v>57383150.348999999</v>
      </c>
      <c r="JP15" s="261">
        <v>59503767.300999999</v>
      </c>
      <c r="JQ15" s="262">
        <v>-3.5638364563925003E-2</v>
      </c>
      <c r="JR15" s="261">
        <v>57383150.348999999</v>
      </c>
      <c r="JS15" s="261">
        <v>59503767.300999999</v>
      </c>
      <c r="JT15" s="262">
        <v>-3.5638364563925003E-2</v>
      </c>
      <c r="JU15" s="261">
        <v>0</v>
      </c>
      <c r="JV15" s="261">
        <v>0</v>
      </c>
      <c r="JW15" s="262">
        <v>0</v>
      </c>
      <c r="JX15" s="261">
        <v>0</v>
      </c>
      <c r="JY15" s="261">
        <v>0</v>
      </c>
      <c r="JZ15" s="262">
        <v>0</v>
      </c>
      <c r="KA15" s="261">
        <v>0</v>
      </c>
      <c r="KB15" s="261">
        <v>0</v>
      </c>
      <c r="KC15" s="262">
        <v>0</v>
      </c>
      <c r="KD15" s="261">
        <v>0</v>
      </c>
      <c r="KE15" s="261">
        <v>0</v>
      </c>
      <c r="KF15" s="262">
        <v>0</v>
      </c>
      <c r="KG15" s="261">
        <v>0</v>
      </c>
      <c r="KH15" s="261">
        <v>0</v>
      </c>
      <c r="KI15" s="262">
        <v>0</v>
      </c>
      <c r="KJ15" s="261">
        <v>0</v>
      </c>
      <c r="KK15" s="261">
        <v>0</v>
      </c>
      <c r="KL15" s="262">
        <v>0</v>
      </c>
      <c r="KM15" s="261">
        <v>0</v>
      </c>
      <c r="KN15" s="261">
        <v>0</v>
      </c>
      <c r="KO15" s="262">
        <v>0</v>
      </c>
      <c r="KP15" s="261">
        <v>0</v>
      </c>
      <c r="KQ15" s="261">
        <v>0</v>
      </c>
      <c r="KR15" s="262">
        <v>0</v>
      </c>
      <c r="KS15" s="261">
        <v>0</v>
      </c>
      <c r="KT15" s="261">
        <v>0</v>
      </c>
      <c r="KU15" s="262">
        <v>0</v>
      </c>
      <c r="KV15" s="261">
        <v>82177.820000000007</v>
      </c>
      <c r="KW15" s="261">
        <v>98604.743000000002</v>
      </c>
      <c r="KX15" s="262">
        <v>-0.16659363941549901</v>
      </c>
      <c r="KY15" s="261">
        <v>1373185.79</v>
      </c>
      <c r="KZ15" s="261">
        <v>1408454.0330000001</v>
      </c>
      <c r="LA15" s="262">
        <v>-2.5040393348783201E-2</v>
      </c>
      <c r="LB15" s="261">
        <v>1373185.79</v>
      </c>
      <c r="LC15" s="261">
        <v>1408454.0330000001</v>
      </c>
      <c r="LD15" s="263">
        <v>-2.5040393348783201E-2</v>
      </c>
      <c r="LE15" s="261">
        <v>8171143.2120000003</v>
      </c>
      <c r="LF15" s="261">
        <v>7491721.5060000001</v>
      </c>
      <c r="LG15" s="262">
        <v>9.0689663978547802E-2</v>
      </c>
      <c r="LH15" s="261">
        <v>8171143.2120000003</v>
      </c>
      <c r="LI15" s="261">
        <v>7491721.5060000001</v>
      </c>
      <c r="LJ15" s="262">
        <v>9.0689663978547802E-2</v>
      </c>
      <c r="LK15" s="261">
        <v>58062572.055</v>
      </c>
      <c r="LL15" s="261">
        <v>61328791.967</v>
      </c>
      <c r="LM15" s="262">
        <v>-5.3257528923079001E-2</v>
      </c>
      <c r="LN15" s="261">
        <v>0</v>
      </c>
      <c r="LO15" s="261">
        <v>0</v>
      </c>
      <c r="LP15" s="262">
        <v>0</v>
      </c>
      <c r="LQ15" s="261">
        <v>0</v>
      </c>
      <c r="LR15" s="261">
        <v>0</v>
      </c>
      <c r="LS15" s="262">
        <v>0</v>
      </c>
      <c r="LT15" s="261">
        <v>0</v>
      </c>
      <c r="LU15" s="261">
        <v>0</v>
      </c>
      <c r="LV15" s="262">
        <v>0</v>
      </c>
      <c r="LW15" s="261">
        <v>0</v>
      </c>
      <c r="LX15" s="261">
        <v>0</v>
      </c>
      <c r="LY15" s="262">
        <v>0</v>
      </c>
      <c r="LZ15" s="261">
        <v>0</v>
      </c>
      <c r="MA15" s="261">
        <v>0</v>
      </c>
      <c r="MB15" s="262">
        <v>0</v>
      </c>
      <c r="MC15" s="261">
        <v>0</v>
      </c>
      <c r="MD15" s="261">
        <v>0</v>
      </c>
      <c r="ME15" s="262">
        <v>0</v>
      </c>
      <c r="MF15" s="261">
        <v>0</v>
      </c>
      <c r="MG15" s="261">
        <v>0</v>
      </c>
      <c r="MH15" s="262">
        <v>0</v>
      </c>
      <c r="MI15" s="261">
        <v>0</v>
      </c>
      <c r="MJ15" s="261">
        <v>0</v>
      </c>
      <c r="MK15" s="262">
        <v>0</v>
      </c>
      <c r="ML15" s="261">
        <v>0</v>
      </c>
      <c r="MM15" s="261">
        <v>0</v>
      </c>
      <c r="MN15" s="262">
        <v>0</v>
      </c>
      <c r="MO15" s="261">
        <v>97153.379000000001</v>
      </c>
      <c r="MP15" s="261">
        <v>94891.767999999996</v>
      </c>
      <c r="MQ15" s="262">
        <v>2.3833584805796899E-2</v>
      </c>
      <c r="MR15" s="261">
        <v>97153.379000000001</v>
      </c>
      <c r="MS15" s="261">
        <v>94891.767999999996</v>
      </c>
      <c r="MT15" s="262">
        <v>2.3833584805796899E-2</v>
      </c>
      <c r="MU15" s="261">
        <v>1375447.4010000001</v>
      </c>
      <c r="MV15" s="261">
        <v>1450192.5360000001</v>
      </c>
      <c r="MW15" s="263">
        <v>-5.1541525104084503E-2</v>
      </c>
      <c r="MX15" s="261">
        <v>6253928.2719999999</v>
      </c>
      <c r="MY15" s="261">
        <v>3639722.159</v>
      </c>
      <c r="MZ15" s="262">
        <v>0.71824331605526803</v>
      </c>
      <c r="NA15" s="261">
        <v>14425071.483999999</v>
      </c>
      <c r="NB15" s="261">
        <v>11131443.664999999</v>
      </c>
      <c r="NC15" s="262">
        <v>0.29588505481602301</v>
      </c>
      <c r="ND15" s="261">
        <v>60676778.167999998</v>
      </c>
      <c r="NE15" s="261">
        <v>58115303.423</v>
      </c>
      <c r="NF15" s="262">
        <v>4.4075735548620702E-2</v>
      </c>
      <c r="NG15" s="261">
        <v>0</v>
      </c>
      <c r="NH15" s="261">
        <v>0</v>
      </c>
      <c r="NI15" s="262">
        <v>0</v>
      </c>
      <c r="NJ15" s="261">
        <v>0</v>
      </c>
      <c r="NK15" s="261">
        <v>0</v>
      </c>
      <c r="NL15" s="262">
        <v>0</v>
      </c>
      <c r="NM15" s="261">
        <v>0</v>
      </c>
      <c r="NN15" s="261">
        <v>0</v>
      </c>
      <c r="NO15" s="262">
        <v>0</v>
      </c>
      <c r="NP15" s="261">
        <v>0</v>
      </c>
      <c r="NQ15" s="261">
        <v>0</v>
      </c>
      <c r="NR15" s="262">
        <v>0</v>
      </c>
      <c r="NS15" s="261">
        <v>0</v>
      </c>
      <c r="NT15" s="261">
        <v>0</v>
      </c>
      <c r="NU15" s="262">
        <v>0</v>
      </c>
      <c r="NV15" s="261">
        <v>0</v>
      </c>
      <c r="NW15" s="261">
        <v>0</v>
      </c>
      <c r="NX15" s="262">
        <v>0</v>
      </c>
      <c r="NY15" s="261">
        <v>0</v>
      </c>
      <c r="NZ15" s="261">
        <v>0</v>
      </c>
      <c r="OA15" s="262">
        <v>0</v>
      </c>
      <c r="OB15" s="261">
        <v>0</v>
      </c>
      <c r="OC15" s="261">
        <v>0</v>
      </c>
      <c r="OD15" s="262">
        <v>0</v>
      </c>
      <c r="OE15" s="261">
        <v>0</v>
      </c>
      <c r="OF15" s="261">
        <v>0</v>
      </c>
      <c r="OG15" s="262">
        <v>0</v>
      </c>
      <c r="OH15" s="261">
        <v>91083.346999999994</v>
      </c>
      <c r="OI15" s="261">
        <v>107781.023</v>
      </c>
      <c r="OJ15" s="262">
        <v>-0.154922225965512</v>
      </c>
      <c r="OK15" s="261">
        <v>188236.726</v>
      </c>
      <c r="OL15" s="261">
        <v>202672.791</v>
      </c>
      <c r="OM15" s="262">
        <v>-7.1228431447416196E-2</v>
      </c>
      <c r="ON15" s="261">
        <v>1358749.7250000001</v>
      </c>
      <c r="OO15" s="261">
        <v>1449312.9739999999</v>
      </c>
      <c r="OP15" s="263">
        <v>-6.2487020143103901E-2</v>
      </c>
      <c r="OQ15" s="261">
        <v>5093998.1689999998</v>
      </c>
      <c r="OR15" s="261">
        <v>6667470.5590000004</v>
      </c>
      <c r="OS15" s="262">
        <v>-0.23599240162764101</v>
      </c>
      <c r="OT15" s="261">
        <v>19519069.653000001</v>
      </c>
      <c r="OU15" s="261">
        <v>17798914.223999999</v>
      </c>
      <c r="OV15" s="262">
        <v>9.6643840593408206E-2</v>
      </c>
      <c r="OW15" s="261">
        <v>59103305.777999997</v>
      </c>
      <c r="OX15" s="261">
        <v>58726929.391000003</v>
      </c>
      <c r="OY15" s="262">
        <v>6.4089233151303597E-3</v>
      </c>
      <c r="OZ15" s="261">
        <v>0</v>
      </c>
      <c r="PA15" s="261">
        <v>0</v>
      </c>
      <c r="PB15" s="262">
        <v>0</v>
      </c>
      <c r="PC15" s="261">
        <v>0</v>
      </c>
      <c r="PD15" s="261">
        <v>0</v>
      </c>
      <c r="PE15" s="262">
        <v>0</v>
      </c>
      <c r="PF15" s="261">
        <v>0</v>
      </c>
      <c r="PG15" s="261">
        <v>0</v>
      </c>
      <c r="PH15" s="262">
        <v>0</v>
      </c>
      <c r="PI15" s="261">
        <v>0</v>
      </c>
      <c r="PJ15" s="261">
        <v>0</v>
      </c>
      <c r="PK15" s="262">
        <v>0</v>
      </c>
      <c r="PL15" s="261">
        <v>0</v>
      </c>
      <c r="PM15" s="261">
        <v>0</v>
      </c>
      <c r="PN15" s="262">
        <v>0</v>
      </c>
      <c r="PO15" s="261">
        <v>0</v>
      </c>
      <c r="PP15" s="261">
        <v>0</v>
      </c>
      <c r="PQ15" s="262">
        <v>0</v>
      </c>
      <c r="PR15" s="261">
        <v>0</v>
      </c>
      <c r="PS15" s="261">
        <v>0</v>
      </c>
      <c r="PT15" s="262">
        <v>0</v>
      </c>
      <c r="PU15" s="261">
        <v>0</v>
      </c>
      <c r="PV15" s="261">
        <v>0</v>
      </c>
      <c r="PW15" s="262">
        <v>0</v>
      </c>
      <c r="PX15" s="261">
        <v>0</v>
      </c>
      <c r="PY15" s="261">
        <v>0</v>
      </c>
      <c r="PZ15" s="262">
        <v>0</v>
      </c>
      <c r="QA15" s="261">
        <v>165143.117</v>
      </c>
      <c r="QB15" s="261">
        <v>77912.910999999993</v>
      </c>
      <c r="QC15" s="262">
        <v>1.1195860208585999</v>
      </c>
      <c r="QD15" s="261">
        <v>353379.84299999999</v>
      </c>
      <c r="QE15" s="261">
        <v>280585.70199999999</v>
      </c>
      <c r="QF15" s="262">
        <v>0.259436387817081</v>
      </c>
      <c r="QG15" s="261">
        <v>1445979.9310000001</v>
      </c>
      <c r="QH15" s="261">
        <v>1438009.399</v>
      </c>
      <c r="QI15" s="263">
        <v>5.5427537577590804E-3</v>
      </c>
      <c r="QJ15" s="261">
        <v>3792339.253</v>
      </c>
      <c r="QK15" s="261">
        <v>4253799.5530000003</v>
      </c>
      <c r="QL15" s="262">
        <v>-0.10848190993733001</v>
      </c>
      <c r="QM15" s="261">
        <v>23311408.905999999</v>
      </c>
      <c r="QN15" s="261">
        <v>22052713.776999999</v>
      </c>
      <c r="QO15" s="262">
        <v>5.7076654679695901E-2</v>
      </c>
      <c r="QP15" s="261">
        <v>58641845.478</v>
      </c>
      <c r="QQ15" s="261">
        <v>58369575.917999998</v>
      </c>
      <c r="QR15" s="262">
        <v>4.6645800610663696E-3</v>
      </c>
      <c r="QS15" s="261">
        <v>0</v>
      </c>
      <c r="QT15" s="261">
        <v>0</v>
      </c>
      <c r="QU15" s="262">
        <v>0</v>
      </c>
      <c r="QV15" s="261">
        <v>0</v>
      </c>
      <c r="QW15" s="261">
        <v>0</v>
      </c>
      <c r="QX15" s="262">
        <v>0</v>
      </c>
      <c r="QY15" s="261">
        <v>0</v>
      </c>
      <c r="QZ15" s="261">
        <v>0</v>
      </c>
      <c r="RA15" s="262">
        <v>0</v>
      </c>
      <c r="RB15" s="261">
        <v>0</v>
      </c>
      <c r="RC15" s="261">
        <v>0</v>
      </c>
      <c r="RD15" s="262">
        <v>0</v>
      </c>
      <c r="RE15" s="261">
        <v>0</v>
      </c>
      <c r="RF15" s="261">
        <v>0</v>
      </c>
      <c r="RG15" s="262">
        <v>0</v>
      </c>
      <c r="RH15" s="261">
        <v>0</v>
      </c>
      <c r="RI15" s="261">
        <v>0</v>
      </c>
      <c r="RJ15" s="262">
        <v>0</v>
      </c>
      <c r="RK15" s="261">
        <v>0</v>
      </c>
      <c r="RL15" s="261">
        <v>0</v>
      </c>
      <c r="RM15" s="262">
        <v>0</v>
      </c>
      <c r="RN15" s="261">
        <v>0</v>
      </c>
      <c r="RO15" s="261">
        <v>0</v>
      </c>
      <c r="RP15" s="262">
        <v>0</v>
      </c>
      <c r="RQ15" s="261">
        <v>0</v>
      </c>
      <c r="RR15" s="261">
        <v>0</v>
      </c>
      <c r="RS15" s="262">
        <v>0</v>
      </c>
      <c r="RT15" s="261">
        <v>81914.61</v>
      </c>
      <c r="RU15" s="261">
        <v>105257.16</v>
      </c>
      <c r="RV15" s="262">
        <v>-0.22176686127575601</v>
      </c>
      <c r="RW15" s="261">
        <v>435294.45299999998</v>
      </c>
      <c r="RX15" s="261">
        <v>385842.86200000002</v>
      </c>
      <c r="RY15" s="262">
        <v>0.12816510520285301</v>
      </c>
      <c r="RZ15" s="261">
        <v>1422637.3810000001</v>
      </c>
      <c r="SA15" s="261">
        <v>1448650.3219999999</v>
      </c>
      <c r="SB15" s="263">
        <v>-1.79566736050468E-2</v>
      </c>
      <c r="SC15" s="261">
        <v>3294916.7110000001</v>
      </c>
      <c r="SD15" s="261">
        <v>3374824.12</v>
      </c>
      <c r="SE15" s="262">
        <v>-2.3677503229412901E-2</v>
      </c>
      <c r="SF15" s="261">
        <v>26606325.616999999</v>
      </c>
      <c r="SG15" s="261">
        <v>25427537.897</v>
      </c>
      <c r="SH15" s="262">
        <v>4.6358704675810297E-2</v>
      </c>
      <c r="SI15" s="261">
        <v>58561938.068999998</v>
      </c>
      <c r="SJ15" s="261">
        <v>57614456.153999999</v>
      </c>
      <c r="SK15" s="262">
        <v>1.6445211466848599E-2</v>
      </c>
      <c r="SL15" s="261">
        <v>0</v>
      </c>
      <c r="SM15" s="261">
        <v>0</v>
      </c>
      <c r="SN15" s="262">
        <v>0</v>
      </c>
      <c r="SO15" s="261">
        <v>0</v>
      </c>
      <c r="SP15" s="261">
        <v>0</v>
      </c>
      <c r="SQ15" s="262">
        <v>0</v>
      </c>
      <c r="SR15" s="261">
        <v>0</v>
      </c>
      <c r="SS15" s="261">
        <v>0</v>
      </c>
      <c r="ST15" s="262">
        <v>0</v>
      </c>
      <c r="SU15" s="261">
        <v>0</v>
      </c>
      <c r="SV15" s="261">
        <v>0</v>
      </c>
      <c r="SW15" s="262">
        <v>0</v>
      </c>
      <c r="SX15" s="261">
        <v>0</v>
      </c>
      <c r="SY15" s="261">
        <v>0</v>
      </c>
      <c r="SZ15" s="262">
        <v>0</v>
      </c>
      <c r="TA15" s="261">
        <v>0</v>
      </c>
      <c r="TB15" s="261">
        <v>0</v>
      </c>
      <c r="TC15" s="262">
        <v>0</v>
      </c>
      <c r="TD15" s="261">
        <v>0</v>
      </c>
      <c r="TE15" s="261">
        <v>0</v>
      </c>
      <c r="TF15" s="262">
        <v>0</v>
      </c>
      <c r="TG15" s="261">
        <v>0</v>
      </c>
      <c r="TH15" s="261">
        <v>0</v>
      </c>
      <c r="TI15" s="262">
        <v>0</v>
      </c>
      <c r="TJ15" s="261">
        <v>0</v>
      </c>
      <c r="TK15" s="261">
        <v>0</v>
      </c>
      <c r="TL15" s="262">
        <v>0</v>
      </c>
      <c r="TM15" s="261">
        <v>90114.509000000005</v>
      </c>
      <c r="TN15" s="261">
        <v>99456.442999999999</v>
      </c>
      <c r="TO15" s="262">
        <v>-9.3929902560460493E-2</v>
      </c>
      <c r="TP15" s="261">
        <v>525408.96200000006</v>
      </c>
      <c r="TQ15" s="261">
        <v>485299.30499999999</v>
      </c>
      <c r="TR15" s="262">
        <v>8.2649318856947596E-2</v>
      </c>
      <c r="TS15" s="261">
        <v>1413295.4469999999</v>
      </c>
      <c r="TT15" s="261">
        <v>1401160.362</v>
      </c>
      <c r="TU15" s="263">
        <v>8.6607395763597592E-3</v>
      </c>
      <c r="TV15" s="261">
        <v>3745736.6740000001</v>
      </c>
      <c r="TW15" s="261">
        <v>3077219.34</v>
      </c>
      <c r="TX15" s="262">
        <v>0.217247215793204</v>
      </c>
      <c r="TY15" s="261">
        <v>30352062.291000001</v>
      </c>
      <c r="TZ15" s="261">
        <v>28504757.237</v>
      </c>
      <c r="UA15" s="262">
        <v>6.4806903585979195E-2</v>
      </c>
      <c r="UB15" s="261">
        <v>59230455.402999997</v>
      </c>
      <c r="UC15" s="261">
        <v>56382453.835000001</v>
      </c>
      <c r="UD15" s="262">
        <v>5.05121961583034E-2</v>
      </c>
      <c r="UE15" s="261">
        <v>0</v>
      </c>
      <c r="UF15" s="261">
        <v>0</v>
      </c>
      <c r="UG15" s="262">
        <v>0</v>
      </c>
      <c r="UH15" s="261">
        <v>0</v>
      </c>
      <c r="UI15" s="261">
        <v>0</v>
      </c>
      <c r="UJ15" s="262">
        <v>0</v>
      </c>
      <c r="UK15" s="261">
        <v>0</v>
      </c>
      <c r="UL15" s="261">
        <v>0</v>
      </c>
      <c r="UM15" s="262">
        <v>0</v>
      </c>
      <c r="UN15" s="261">
        <v>0</v>
      </c>
      <c r="UO15" s="261">
        <v>0</v>
      </c>
      <c r="UP15" s="262">
        <v>0</v>
      </c>
      <c r="UQ15" s="261">
        <v>0</v>
      </c>
      <c r="UR15" s="261">
        <v>0</v>
      </c>
      <c r="US15" s="262">
        <v>0</v>
      </c>
      <c r="UT15" s="261">
        <v>0</v>
      </c>
      <c r="UU15" s="261">
        <v>0</v>
      </c>
      <c r="UV15" s="262">
        <v>0</v>
      </c>
      <c r="UW15" s="261">
        <v>0</v>
      </c>
      <c r="UX15" s="261">
        <v>0</v>
      </c>
      <c r="UY15" s="262">
        <v>0</v>
      </c>
      <c r="UZ15" s="261">
        <v>0</v>
      </c>
      <c r="VA15" s="261">
        <v>0</v>
      </c>
      <c r="VB15" s="262">
        <v>0</v>
      </c>
      <c r="VC15" s="261">
        <v>0</v>
      </c>
      <c r="VD15" s="261">
        <v>0</v>
      </c>
      <c r="VE15" s="262">
        <v>0</v>
      </c>
      <c r="VF15" s="261">
        <v>139963.837</v>
      </c>
      <c r="VG15" s="261">
        <v>143551.42300000001</v>
      </c>
      <c r="VH15" s="262">
        <v>-2.49916435868421E-2</v>
      </c>
      <c r="VI15" s="261">
        <v>665372.799</v>
      </c>
      <c r="VJ15" s="261">
        <v>628850.728</v>
      </c>
      <c r="VK15" s="262">
        <v>5.80774886214332E-2</v>
      </c>
      <c r="VL15" s="261">
        <v>1409707.861</v>
      </c>
      <c r="VM15" s="261">
        <v>1414899.9839999999</v>
      </c>
      <c r="VN15" s="263">
        <v>-3.6696042538084499E-3</v>
      </c>
    </row>
    <row r="16" spans="1:586">
      <c r="A16" s="267" t="s">
        <v>6</v>
      </c>
      <c r="B16" s="261">
        <v>5932277.8820000002</v>
      </c>
      <c r="C16" s="261">
        <v>4688902.2110000001</v>
      </c>
      <c r="D16" s="262">
        <v>0.26517415272237599</v>
      </c>
      <c r="E16" s="261">
        <v>23184031.655999999</v>
      </c>
      <c r="F16" s="261">
        <v>21103267.824999999</v>
      </c>
      <c r="G16" s="262">
        <v>9.8599129208558997E-2</v>
      </c>
      <c r="H16" s="261">
        <v>45766288.160999998</v>
      </c>
      <c r="I16" s="261">
        <v>39652806.917999998</v>
      </c>
      <c r="J16" s="262">
        <v>0.15417524554169301</v>
      </c>
      <c r="K16" s="261">
        <v>8.0000000000000002E-3</v>
      </c>
      <c r="L16" s="261">
        <v>2.1000000000000001E-2</v>
      </c>
      <c r="M16" s="262">
        <v>-0.61904761904761896</v>
      </c>
      <c r="N16" s="261">
        <v>4.5999999999999999E-2</v>
      </c>
      <c r="O16" s="261">
        <v>7.0000000000000007E-2</v>
      </c>
      <c r="P16" s="262">
        <v>-0.34285714285714303</v>
      </c>
      <c r="Q16" s="261">
        <v>0.11</v>
      </c>
      <c r="R16" s="261">
        <v>0.307</v>
      </c>
      <c r="S16" s="262">
        <v>-0.64169381107491896</v>
      </c>
      <c r="T16" s="261">
        <v>6.9820000000000002</v>
      </c>
      <c r="U16" s="261">
        <v>7.41</v>
      </c>
      <c r="V16" s="262">
        <v>-5.77597840755735E-2</v>
      </c>
      <c r="W16" s="261">
        <v>35.194000000000003</v>
      </c>
      <c r="X16" s="261">
        <v>36.743000000000002</v>
      </c>
      <c r="Y16" s="262">
        <v>-4.2157689900117E-2</v>
      </c>
      <c r="Z16" s="261">
        <v>67.945999999999998</v>
      </c>
      <c r="AA16" s="261">
        <v>73.491</v>
      </c>
      <c r="AB16" s="262">
        <v>-7.5451415819624196E-2</v>
      </c>
      <c r="AC16" s="261">
        <v>64616.387000000002</v>
      </c>
      <c r="AD16" s="261">
        <v>53303.195</v>
      </c>
      <c r="AE16" s="262">
        <v>0.21224228678975099</v>
      </c>
      <c r="AF16" s="261">
        <v>259937.58900000001</v>
      </c>
      <c r="AG16" s="261">
        <v>256671.851</v>
      </c>
      <c r="AH16" s="262">
        <v>1.2723397549348E-2</v>
      </c>
      <c r="AI16" s="261">
        <v>511193.92700000003</v>
      </c>
      <c r="AJ16" s="261">
        <v>459629.19099999999</v>
      </c>
      <c r="AK16" s="262">
        <v>0.112187687400385</v>
      </c>
      <c r="AL16" s="261">
        <v>42657.446000000004</v>
      </c>
      <c r="AM16" s="261">
        <v>36359.182000000001</v>
      </c>
      <c r="AN16" s="262">
        <v>0.17322347901006099</v>
      </c>
      <c r="AO16" s="261">
        <v>230997.25200000001</v>
      </c>
      <c r="AP16" s="261">
        <v>191595.2</v>
      </c>
      <c r="AQ16" s="262">
        <v>0.20565260507570099</v>
      </c>
      <c r="AR16" s="261">
        <v>444861.46399999998</v>
      </c>
      <c r="AS16" s="261">
        <v>371187.614</v>
      </c>
      <c r="AT16" s="263">
        <v>0.19848143424311601</v>
      </c>
      <c r="AU16" s="261">
        <v>6193146.2779999999</v>
      </c>
      <c r="AV16" s="261">
        <v>5722926.9539999999</v>
      </c>
      <c r="AW16" s="262">
        <v>8.2164131707350097E-2</v>
      </c>
      <c r="AX16" s="261">
        <v>29377177.934</v>
      </c>
      <c r="AY16" s="261">
        <v>26826194.778999999</v>
      </c>
      <c r="AZ16" s="262">
        <v>9.50929930993029E-2</v>
      </c>
      <c r="BA16" s="261">
        <v>46236507.484999999</v>
      </c>
      <c r="BB16" s="261">
        <v>40893607.560999997</v>
      </c>
      <c r="BC16" s="262">
        <v>0.13065367040631301</v>
      </c>
      <c r="BD16" s="261">
        <v>0.02</v>
      </c>
      <c r="BE16" s="261">
        <v>3.4000000000000002E-2</v>
      </c>
      <c r="BF16" s="262">
        <v>-0.41176470588235298</v>
      </c>
      <c r="BG16" s="261">
        <v>6.6000000000000003E-2</v>
      </c>
      <c r="BH16" s="261">
        <v>0.104</v>
      </c>
      <c r="BI16" s="262">
        <v>-0.36538461538461497</v>
      </c>
      <c r="BJ16" s="261">
        <v>9.6000000000000002E-2</v>
      </c>
      <c r="BK16" s="261">
        <v>0.34100000000000003</v>
      </c>
      <c r="BL16" s="262">
        <v>-0.71847507331378302</v>
      </c>
      <c r="BM16" s="261">
        <v>7.5129999999999999</v>
      </c>
      <c r="BN16" s="261">
        <v>7.8659999999999997</v>
      </c>
      <c r="BO16" s="262">
        <v>-4.4876684464785099E-2</v>
      </c>
      <c r="BP16" s="261">
        <v>42.707000000000001</v>
      </c>
      <c r="BQ16" s="261">
        <v>44.609000000000002</v>
      </c>
      <c r="BR16" s="262">
        <v>-4.2637136003945399E-2</v>
      </c>
      <c r="BS16" s="261">
        <v>67.593000000000004</v>
      </c>
      <c r="BT16" s="261">
        <v>73.221000000000004</v>
      </c>
      <c r="BU16" s="262">
        <v>-7.6863194985045305E-2</v>
      </c>
      <c r="BV16" s="261">
        <v>58301.254000000001</v>
      </c>
      <c r="BW16" s="261">
        <v>60213.101000000002</v>
      </c>
      <c r="BX16" s="262">
        <v>-3.1751345940479E-2</v>
      </c>
      <c r="BY16" s="261">
        <v>318238.84299999999</v>
      </c>
      <c r="BZ16" s="261">
        <v>316884.95199999999</v>
      </c>
      <c r="CA16" s="262">
        <v>4.2725001343705401E-3</v>
      </c>
      <c r="CB16" s="261">
        <v>509282.08</v>
      </c>
      <c r="CC16" s="261">
        <v>478307.592</v>
      </c>
      <c r="CD16" s="262">
        <v>6.4758512133338705E-2</v>
      </c>
      <c r="CE16" s="261">
        <v>44683.625999999997</v>
      </c>
      <c r="CF16" s="261">
        <v>42950.866000000002</v>
      </c>
      <c r="CG16" s="262">
        <v>4.0342841981346703E-2</v>
      </c>
      <c r="CH16" s="261">
        <v>275680.87800000003</v>
      </c>
      <c r="CI16" s="261">
        <v>234546.06599999999</v>
      </c>
      <c r="CJ16" s="262">
        <v>0.17538052418240099</v>
      </c>
      <c r="CK16" s="261">
        <v>446594.22399999999</v>
      </c>
      <c r="CL16" s="261">
        <v>378959.60600000003</v>
      </c>
      <c r="CM16" s="263">
        <v>0.17847447835904701</v>
      </c>
      <c r="CN16" s="261">
        <v>5735453.1380000003</v>
      </c>
      <c r="CO16" s="261">
        <v>5291414.8279999997</v>
      </c>
      <c r="CP16" s="262">
        <v>8.3916745224799194E-2</v>
      </c>
      <c r="CQ16" s="261">
        <v>35112631.071999997</v>
      </c>
      <c r="CR16" s="261">
        <v>32117609.607000001</v>
      </c>
      <c r="CS16" s="262">
        <v>9.3251692814250803E-2</v>
      </c>
      <c r="CT16" s="261">
        <v>46680545.795000002</v>
      </c>
      <c r="CU16" s="261">
        <v>41804573.366999999</v>
      </c>
      <c r="CV16" s="262">
        <v>0.11663729671857</v>
      </c>
      <c r="CW16" s="261">
        <v>0</v>
      </c>
      <c r="CX16" s="261">
        <v>2.9000000000000001E-2</v>
      </c>
      <c r="CY16" s="262">
        <v>-1</v>
      </c>
      <c r="CZ16" s="261">
        <v>6.6000000000000003E-2</v>
      </c>
      <c r="DA16" s="261">
        <v>0.13300000000000001</v>
      </c>
      <c r="DB16" s="262">
        <v>-0.50375939849624096</v>
      </c>
      <c r="DC16" s="261">
        <v>6.7000000000000004E-2</v>
      </c>
      <c r="DD16" s="261">
        <v>0.37</v>
      </c>
      <c r="DE16" s="262">
        <v>-0.81891891891891899</v>
      </c>
      <c r="DF16" s="261">
        <v>7.1520000000000001</v>
      </c>
      <c r="DG16" s="261">
        <v>6.86</v>
      </c>
      <c r="DH16" s="262">
        <v>4.2565597667638497E-2</v>
      </c>
      <c r="DI16" s="261">
        <v>49.859000000000002</v>
      </c>
      <c r="DJ16" s="261">
        <v>51.469000000000001</v>
      </c>
      <c r="DK16" s="262">
        <v>-3.1280965241213203E-2</v>
      </c>
      <c r="DL16" s="261">
        <v>67.885000000000005</v>
      </c>
      <c r="DM16" s="261">
        <v>72.272000000000006</v>
      </c>
      <c r="DN16" s="262">
        <v>-6.0701239760903303E-2</v>
      </c>
      <c r="DO16" s="261">
        <v>58388.307999999997</v>
      </c>
      <c r="DP16" s="261">
        <v>55546.010999999999</v>
      </c>
      <c r="DQ16" s="262">
        <v>5.1170137131899503E-2</v>
      </c>
      <c r="DR16" s="261">
        <v>376627.15100000001</v>
      </c>
      <c r="DS16" s="261">
        <v>372430.96299999999</v>
      </c>
      <c r="DT16" s="262">
        <v>1.12670223930872E-2</v>
      </c>
      <c r="DU16" s="261">
        <v>512124.37699999998</v>
      </c>
      <c r="DV16" s="261">
        <v>489200.66399999999</v>
      </c>
      <c r="DW16" s="262">
        <v>4.6859529610123303E-2</v>
      </c>
      <c r="DX16" s="261">
        <v>46097.631000000001</v>
      </c>
      <c r="DY16" s="261">
        <v>40957.819000000003</v>
      </c>
      <c r="DZ16" s="262">
        <v>0.12549037340098601</v>
      </c>
      <c r="EA16" s="261">
        <v>321778.50900000002</v>
      </c>
      <c r="EB16" s="261">
        <v>275503.88500000001</v>
      </c>
      <c r="EC16" s="262">
        <v>0.16796359877103001</v>
      </c>
      <c r="ED16" s="261">
        <v>451734.03600000002</v>
      </c>
      <c r="EE16" s="261">
        <v>386104.533</v>
      </c>
      <c r="EF16" s="263">
        <v>0.16997858712008401</v>
      </c>
      <c r="EG16" s="261">
        <v>4954881.392</v>
      </c>
      <c r="EH16" s="261">
        <v>4124551.5869999998</v>
      </c>
      <c r="EI16" s="262">
        <v>0.20131395801111601</v>
      </c>
      <c r="EJ16" s="261">
        <v>40067512.464000002</v>
      </c>
      <c r="EK16" s="261">
        <v>36242161.193999998</v>
      </c>
      <c r="EL16" s="262">
        <v>0.10554975597408101</v>
      </c>
      <c r="EM16" s="261">
        <v>47510875.600000001</v>
      </c>
      <c r="EN16" s="261">
        <v>42625207.170999996</v>
      </c>
      <c r="EO16" s="262">
        <v>0.114619230104856</v>
      </c>
      <c r="EP16" s="261">
        <v>0</v>
      </c>
      <c r="EQ16" s="261">
        <v>1E-3</v>
      </c>
      <c r="ER16" s="262">
        <v>-1</v>
      </c>
      <c r="ES16" s="261">
        <v>6.6000000000000003E-2</v>
      </c>
      <c r="ET16" s="261">
        <v>0.13400000000000001</v>
      </c>
      <c r="EU16" s="262">
        <v>-0.50746268656716398</v>
      </c>
      <c r="EV16" s="261">
        <v>6.6000000000000003E-2</v>
      </c>
      <c r="EW16" s="261">
        <v>0.30399999999999999</v>
      </c>
      <c r="EX16" s="262">
        <v>-0.78289473684210498</v>
      </c>
      <c r="EY16" s="261">
        <v>6.0510000000000002</v>
      </c>
      <c r="EZ16" s="261">
        <v>6.7729999999999997</v>
      </c>
      <c r="FA16" s="262">
        <v>-0.10659973423889001</v>
      </c>
      <c r="FB16" s="261">
        <v>55.91</v>
      </c>
      <c r="FC16" s="261">
        <v>58.241999999999997</v>
      </c>
      <c r="FD16" s="262">
        <v>-4.0039833796916301E-2</v>
      </c>
      <c r="FE16" s="261">
        <v>67.162999999999997</v>
      </c>
      <c r="FF16" s="261">
        <v>72.400000000000006</v>
      </c>
      <c r="FG16" s="262">
        <v>-7.2334254143646498E-2</v>
      </c>
      <c r="FH16" s="261">
        <v>48070.135000000002</v>
      </c>
      <c r="FI16" s="261">
        <v>44045.144</v>
      </c>
      <c r="FJ16" s="262">
        <v>9.1383308906879707E-2</v>
      </c>
      <c r="FK16" s="261">
        <v>424697.28600000002</v>
      </c>
      <c r="FL16" s="261">
        <v>416476.10700000002</v>
      </c>
      <c r="FM16" s="262">
        <v>1.9739857489591801E-2</v>
      </c>
      <c r="FN16" s="261">
        <v>516149.36800000002</v>
      </c>
      <c r="FO16" s="261">
        <v>498284.08600000001</v>
      </c>
      <c r="FP16" s="262">
        <v>3.5853607413823797E-2</v>
      </c>
      <c r="FQ16" s="261">
        <v>39592.023999999998</v>
      </c>
      <c r="FR16" s="261">
        <v>37569.016000000003</v>
      </c>
      <c r="FS16" s="262">
        <v>5.3847777115056603E-2</v>
      </c>
      <c r="FT16" s="261">
        <v>361370.533</v>
      </c>
      <c r="FU16" s="261">
        <v>313072.90100000001</v>
      </c>
      <c r="FV16" s="262">
        <v>0.15426960252941199</v>
      </c>
      <c r="FW16" s="261">
        <v>453757.04399999999</v>
      </c>
      <c r="FX16" s="261">
        <v>392235.973</v>
      </c>
      <c r="FY16" s="263">
        <v>0.15684709010613901</v>
      </c>
      <c r="FZ16" s="261">
        <v>3969608.4909999999</v>
      </c>
      <c r="GA16" s="261">
        <v>2725320.523</v>
      </c>
      <c r="GB16" s="262">
        <v>0.45656573511225101</v>
      </c>
      <c r="GC16" s="261">
        <v>44037120.954999998</v>
      </c>
      <c r="GD16" s="261">
        <v>38967481.717</v>
      </c>
      <c r="GE16" s="262">
        <v>0.13009922670441201</v>
      </c>
      <c r="GF16" s="261">
        <v>48755163.568000004</v>
      </c>
      <c r="GG16" s="261">
        <v>42769732.859999999</v>
      </c>
      <c r="GH16" s="262">
        <v>0.13994547797603399</v>
      </c>
      <c r="GI16" s="261">
        <v>0</v>
      </c>
      <c r="GJ16" s="261">
        <v>0</v>
      </c>
      <c r="GK16" s="262">
        <v>0</v>
      </c>
      <c r="GL16" s="261">
        <v>6.6000000000000003E-2</v>
      </c>
      <c r="GM16" s="261">
        <v>0.13400000000000001</v>
      </c>
      <c r="GN16" s="262">
        <v>-0.50746268656716398</v>
      </c>
      <c r="GO16" s="261">
        <v>6.6000000000000003E-2</v>
      </c>
      <c r="GP16" s="261">
        <v>0.25700000000000001</v>
      </c>
      <c r="GQ16" s="262">
        <v>-0.74319066147859902</v>
      </c>
      <c r="GR16" s="261">
        <v>5.2270000000000003</v>
      </c>
      <c r="GS16" s="261">
        <v>4.6550000000000002</v>
      </c>
      <c r="GT16" s="262">
        <v>0.12287862513426399</v>
      </c>
      <c r="GU16" s="261">
        <v>61.137</v>
      </c>
      <c r="GV16" s="261">
        <v>62.896999999999998</v>
      </c>
      <c r="GW16" s="262">
        <v>-2.7982256705407198E-2</v>
      </c>
      <c r="GX16" s="261">
        <v>67.734999999999999</v>
      </c>
      <c r="GY16" s="261">
        <v>71.430000000000007</v>
      </c>
      <c r="GZ16" s="262">
        <v>-5.1728965420691699E-2</v>
      </c>
      <c r="HA16" s="261">
        <v>38159.438000000002</v>
      </c>
      <c r="HB16" s="261">
        <v>38958.144</v>
      </c>
      <c r="HC16" s="262">
        <v>-2.0501644020823901E-2</v>
      </c>
      <c r="HD16" s="261">
        <v>462856.72399999999</v>
      </c>
      <c r="HE16" s="261">
        <v>455434.25099999999</v>
      </c>
      <c r="HF16" s="262">
        <v>1.6297573104575299E-2</v>
      </c>
      <c r="HG16" s="261">
        <v>515350.66200000001</v>
      </c>
      <c r="HH16" s="261">
        <v>504004.86</v>
      </c>
      <c r="HI16" s="262">
        <v>2.25112948315618E-2</v>
      </c>
      <c r="HJ16" s="261">
        <v>35989.101000000002</v>
      </c>
      <c r="HK16" s="261">
        <v>36381.697</v>
      </c>
      <c r="HL16" s="262">
        <v>-1.0791030445886E-2</v>
      </c>
      <c r="HM16" s="261">
        <v>397359.63400000002</v>
      </c>
      <c r="HN16" s="261">
        <v>349454.598</v>
      </c>
      <c r="HO16" s="262">
        <v>0.137085150042868</v>
      </c>
      <c r="HP16" s="261">
        <v>453364.44799999997</v>
      </c>
      <c r="HQ16" s="261">
        <v>398582.16</v>
      </c>
      <c r="HR16" s="263">
        <v>0.13744290010370799</v>
      </c>
      <c r="HS16" s="261">
        <v>3059780.1310000001</v>
      </c>
      <c r="HT16" s="261">
        <v>2277038.0090000001</v>
      </c>
      <c r="HU16" s="262">
        <v>0.34375452623373398</v>
      </c>
      <c r="HV16" s="261">
        <v>47096901.086000003</v>
      </c>
      <c r="HW16" s="261">
        <v>41244519.726000004</v>
      </c>
      <c r="HX16" s="262">
        <v>0.141894763204401</v>
      </c>
      <c r="HY16" s="261">
        <v>49537905.689999998</v>
      </c>
      <c r="HZ16" s="261">
        <v>43078693.75</v>
      </c>
      <c r="IA16" s="262">
        <v>0.14993982820103499</v>
      </c>
      <c r="IB16" s="261">
        <v>0</v>
      </c>
      <c r="IC16" s="261">
        <v>0</v>
      </c>
      <c r="ID16" s="262">
        <v>0</v>
      </c>
      <c r="IE16" s="261">
        <v>6.6000000000000003E-2</v>
      </c>
      <c r="IF16" s="261">
        <v>0.13400000000000001</v>
      </c>
      <c r="IG16" s="262">
        <v>-0.50746268656716398</v>
      </c>
      <c r="IH16" s="261">
        <v>6.6000000000000003E-2</v>
      </c>
      <c r="II16" s="261">
        <v>0.19900000000000001</v>
      </c>
      <c r="IJ16" s="262">
        <v>-0.66834170854271402</v>
      </c>
      <c r="IK16" s="261">
        <v>3.5950000000000002</v>
      </c>
      <c r="IL16" s="261">
        <v>3.0169999999999999</v>
      </c>
      <c r="IM16" s="262">
        <v>0.191581040768976</v>
      </c>
      <c r="IN16" s="261">
        <v>64.731999999999999</v>
      </c>
      <c r="IO16" s="261">
        <v>65.914000000000001</v>
      </c>
      <c r="IP16" s="262">
        <v>-1.7932457444549001E-2</v>
      </c>
      <c r="IQ16" s="261">
        <v>68.313000000000002</v>
      </c>
      <c r="IR16" s="261">
        <v>69.447000000000003</v>
      </c>
      <c r="IS16" s="262">
        <v>-1.6328999092833401E-2</v>
      </c>
      <c r="IT16" s="261">
        <v>28287.681</v>
      </c>
      <c r="IU16" s="261">
        <v>27233.916000000001</v>
      </c>
      <c r="IV16" s="262">
        <v>3.8693113395811302E-2</v>
      </c>
      <c r="IW16" s="261">
        <v>491144.40500000003</v>
      </c>
      <c r="IX16" s="261">
        <v>482668.16700000002</v>
      </c>
      <c r="IY16" s="262">
        <v>1.7561211986868001E-2</v>
      </c>
      <c r="IZ16" s="261">
        <v>516404.42700000003</v>
      </c>
      <c r="JA16" s="261">
        <v>505807.60100000002</v>
      </c>
      <c r="JB16" s="262">
        <v>2.0950309918335901E-2</v>
      </c>
      <c r="JC16" s="261">
        <v>32078.171999999999</v>
      </c>
      <c r="JD16" s="261">
        <v>28585.29</v>
      </c>
      <c r="JE16" s="262">
        <v>0.12219158875071801</v>
      </c>
      <c r="JF16" s="261">
        <v>429437.80599999998</v>
      </c>
      <c r="JG16" s="261">
        <v>378039.88799999998</v>
      </c>
      <c r="JH16" s="262">
        <v>0.1359589811327</v>
      </c>
      <c r="JI16" s="261">
        <v>456857.33</v>
      </c>
      <c r="JJ16" s="261">
        <v>401850.44099999999</v>
      </c>
      <c r="JK16" s="263">
        <v>0.13688398316327799</v>
      </c>
      <c r="JL16" s="261">
        <v>2201839.2009999999</v>
      </c>
      <c r="JM16" s="261">
        <v>2441004.6039999998</v>
      </c>
      <c r="JN16" s="262">
        <v>-9.7978267885315301E-2</v>
      </c>
      <c r="JO16" s="261">
        <v>49298740.287</v>
      </c>
      <c r="JP16" s="261">
        <v>43685524.329999998</v>
      </c>
      <c r="JQ16" s="262">
        <v>0.12849144065658499</v>
      </c>
      <c r="JR16" s="261">
        <v>49298740.287</v>
      </c>
      <c r="JS16" s="261">
        <v>43685524.329999998</v>
      </c>
      <c r="JT16" s="262">
        <v>0.12849144065658499</v>
      </c>
      <c r="JU16" s="261">
        <v>0</v>
      </c>
      <c r="JV16" s="261">
        <v>0</v>
      </c>
      <c r="JW16" s="262">
        <v>0</v>
      </c>
      <c r="JX16" s="261">
        <v>6.6000000000000003E-2</v>
      </c>
      <c r="JY16" s="261">
        <v>0.13400000000000001</v>
      </c>
      <c r="JZ16" s="262">
        <v>-0.50746268656716398</v>
      </c>
      <c r="KA16" s="261">
        <v>6.6000000000000003E-2</v>
      </c>
      <c r="KB16" s="261">
        <v>0.13400000000000001</v>
      </c>
      <c r="KC16" s="262">
        <v>-0.50746268656716398</v>
      </c>
      <c r="KD16" s="261">
        <v>2.1819999999999999</v>
      </c>
      <c r="KE16" s="261">
        <v>3.581</v>
      </c>
      <c r="KF16" s="262">
        <v>-0.39067299636972902</v>
      </c>
      <c r="KG16" s="261">
        <v>66.914000000000001</v>
      </c>
      <c r="KH16" s="261">
        <v>69.495000000000005</v>
      </c>
      <c r="KI16" s="262">
        <v>-3.7139362544068001E-2</v>
      </c>
      <c r="KJ16" s="261">
        <v>66.914000000000001</v>
      </c>
      <c r="KK16" s="261">
        <v>69.495000000000005</v>
      </c>
      <c r="KL16" s="262">
        <v>-3.7139362544068001E-2</v>
      </c>
      <c r="KM16" s="261">
        <v>21457.460999999999</v>
      </c>
      <c r="KN16" s="261">
        <v>25260.022000000001</v>
      </c>
      <c r="KO16" s="262">
        <v>-0.150536725581633</v>
      </c>
      <c r="KP16" s="261">
        <v>512601.86599999998</v>
      </c>
      <c r="KQ16" s="261">
        <v>507928.18900000001</v>
      </c>
      <c r="KR16" s="262">
        <v>9.2014522942729694E-3</v>
      </c>
      <c r="KS16" s="261">
        <v>512601.86599999998</v>
      </c>
      <c r="KT16" s="261">
        <v>507928.18900000001</v>
      </c>
      <c r="KU16" s="262">
        <v>9.2014522942729694E-3</v>
      </c>
      <c r="KV16" s="261">
        <v>31976.612000000001</v>
      </c>
      <c r="KW16" s="261">
        <v>27419.524000000001</v>
      </c>
      <c r="KX16" s="262">
        <v>0.16619865465206499</v>
      </c>
      <c r="KY16" s="261">
        <v>461414.41800000001</v>
      </c>
      <c r="KZ16" s="261">
        <v>405459.41200000001</v>
      </c>
      <c r="LA16" s="262">
        <v>0.13800396376049601</v>
      </c>
      <c r="LB16" s="261">
        <v>461414.41800000001</v>
      </c>
      <c r="LC16" s="261">
        <v>405459.41200000001</v>
      </c>
      <c r="LD16" s="263">
        <v>0.13800396376049601</v>
      </c>
      <c r="LE16" s="261">
        <v>2233529.2940000002</v>
      </c>
      <c r="LF16" s="261">
        <v>2256939.5950000002</v>
      </c>
      <c r="LG16" s="262">
        <v>-1.0372586422721699E-2</v>
      </c>
      <c r="LH16" s="261">
        <v>2233529.2940000002</v>
      </c>
      <c r="LI16" s="261">
        <v>2256939.5950000002</v>
      </c>
      <c r="LJ16" s="262">
        <v>-1.0372586422721699E-2</v>
      </c>
      <c r="LK16" s="261">
        <v>49275329.986000001</v>
      </c>
      <c r="LL16" s="261">
        <v>44058980.313000001</v>
      </c>
      <c r="LM16" s="262">
        <v>0.118394698105641</v>
      </c>
      <c r="LN16" s="261">
        <v>0</v>
      </c>
      <c r="LO16" s="261">
        <v>0</v>
      </c>
      <c r="LP16" s="262">
        <v>0</v>
      </c>
      <c r="LQ16" s="261">
        <v>0</v>
      </c>
      <c r="LR16" s="261">
        <v>0</v>
      </c>
      <c r="LS16" s="262">
        <v>0</v>
      </c>
      <c r="LT16" s="261">
        <v>6.6000000000000003E-2</v>
      </c>
      <c r="LU16" s="261">
        <v>0.13400000000000001</v>
      </c>
      <c r="LV16" s="262">
        <v>-0.50746268656716398</v>
      </c>
      <c r="LW16" s="261">
        <v>2.6139999999999999</v>
      </c>
      <c r="LX16" s="261">
        <v>3.48</v>
      </c>
      <c r="LY16" s="262">
        <v>-0.24885057471264399</v>
      </c>
      <c r="LZ16" s="261">
        <v>2.6139999999999999</v>
      </c>
      <c r="MA16" s="261">
        <v>3.48</v>
      </c>
      <c r="MB16" s="262">
        <v>-0.24885057471264399</v>
      </c>
      <c r="MC16" s="261">
        <v>66.048000000000002</v>
      </c>
      <c r="MD16" s="261">
        <v>69.483000000000004</v>
      </c>
      <c r="ME16" s="262">
        <v>-4.9436552825871102E-2</v>
      </c>
      <c r="MF16" s="261">
        <v>26531.222000000002</v>
      </c>
      <c r="MG16" s="261">
        <v>27366.242999999999</v>
      </c>
      <c r="MH16" s="262">
        <v>-3.0512810983955599E-2</v>
      </c>
      <c r="MI16" s="261">
        <v>26531.222000000002</v>
      </c>
      <c r="MJ16" s="261">
        <v>27366.242999999999</v>
      </c>
      <c r="MK16" s="262">
        <v>-3.0512810983955599E-2</v>
      </c>
      <c r="ML16" s="261">
        <v>511766.84499999997</v>
      </c>
      <c r="MM16" s="261">
        <v>511088.77899999998</v>
      </c>
      <c r="MN16" s="262">
        <v>1.3267088378005501E-3</v>
      </c>
      <c r="MO16" s="261">
        <v>33762.531999999999</v>
      </c>
      <c r="MP16" s="261">
        <v>32201.141</v>
      </c>
      <c r="MQ16" s="262">
        <v>4.8488685540677E-2</v>
      </c>
      <c r="MR16" s="261">
        <v>33762.531999999999</v>
      </c>
      <c r="MS16" s="261">
        <v>32201.141</v>
      </c>
      <c r="MT16" s="262">
        <v>4.8488685540677E-2</v>
      </c>
      <c r="MU16" s="261">
        <v>462975.80900000001</v>
      </c>
      <c r="MV16" s="261">
        <v>412894.53499999997</v>
      </c>
      <c r="MW16" s="263">
        <v>0.121293138452414</v>
      </c>
      <c r="MX16" s="261">
        <v>2506265.648</v>
      </c>
      <c r="MY16" s="261">
        <v>3139942.94</v>
      </c>
      <c r="MZ16" s="262">
        <v>-0.20181172209454201</v>
      </c>
      <c r="NA16" s="261">
        <v>4739794.9419999998</v>
      </c>
      <c r="NB16" s="261">
        <v>5396882.5350000001</v>
      </c>
      <c r="NC16" s="262">
        <v>-0.121753176716121</v>
      </c>
      <c r="ND16" s="261">
        <v>48641652.693999998</v>
      </c>
      <c r="NE16" s="261">
        <v>44647284.144000001</v>
      </c>
      <c r="NF16" s="262">
        <v>8.9464983740490001E-2</v>
      </c>
      <c r="NG16" s="261">
        <v>0</v>
      </c>
      <c r="NH16" s="261">
        <v>1E-3</v>
      </c>
      <c r="NI16" s="262">
        <v>-1</v>
      </c>
      <c r="NJ16" s="261">
        <v>0</v>
      </c>
      <c r="NK16" s="261">
        <v>1E-3</v>
      </c>
      <c r="NL16" s="262">
        <v>-1</v>
      </c>
      <c r="NM16" s="261">
        <v>6.5000000000000002E-2</v>
      </c>
      <c r="NN16" s="261">
        <v>0.13100000000000001</v>
      </c>
      <c r="NO16" s="262">
        <v>-0.50381679389313005</v>
      </c>
      <c r="NP16" s="261">
        <v>3.29</v>
      </c>
      <c r="NQ16" s="261">
        <v>4.125</v>
      </c>
      <c r="NR16" s="262">
        <v>-0.20242424242424201</v>
      </c>
      <c r="NS16" s="261">
        <v>5.9039999999999999</v>
      </c>
      <c r="NT16" s="261">
        <v>7.6050000000000004</v>
      </c>
      <c r="NU16" s="262">
        <v>-0.22366863905325499</v>
      </c>
      <c r="NV16" s="261">
        <v>65.212999999999994</v>
      </c>
      <c r="NW16" s="261">
        <v>68.733999999999995</v>
      </c>
      <c r="NX16" s="262">
        <v>-5.1226467250560098E-2</v>
      </c>
      <c r="NY16" s="261">
        <v>38510.11</v>
      </c>
      <c r="NZ16" s="261">
        <v>29824.809000000001</v>
      </c>
      <c r="OA16" s="262">
        <v>0.291210615967398</v>
      </c>
      <c r="OB16" s="261">
        <v>65041.332000000002</v>
      </c>
      <c r="OC16" s="261">
        <v>57191.052000000003</v>
      </c>
      <c r="OD16" s="262">
        <v>0.13726413006006599</v>
      </c>
      <c r="OE16" s="261">
        <v>520452.14600000001</v>
      </c>
      <c r="OF16" s="261">
        <v>510127.495</v>
      </c>
      <c r="OG16" s="262">
        <v>2.0239354085393901E-2</v>
      </c>
      <c r="OH16" s="261">
        <v>36724.343999999997</v>
      </c>
      <c r="OI16" s="261">
        <v>35576.336000000003</v>
      </c>
      <c r="OJ16" s="262">
        <v>3.2268865461580802E-2</v>
      </c>
      <c r="OK16" s="261">
        <v>70486.876000000004</v>
      </c>
      <c r="OL16" s="261">
        <v>67777.476999999999</v>
      </c>
      <c r="OM16" s="262">
        <v>3.9974916741146997E-2</v>
      </c>
      <c r="ON16" s="261">
        <v>464123.81699999998</v>
      </c>
      <c r="OO16" s="261">
        <v>422041.40299999999</v>
      </c>
      <c r="OP16" s="263">
        <v>9.9711577349675298E-2</v>
      </c>
      <c r="OQ16" s="261">
        <v>4214428.9979999997</v>
      </c>
      <c r="OR16" s="261">
        <v>3034508.7579999999</v>
      </c>
      <c r="OS16" s="262">
        <v>0.38883402029713299</v>
      </c>
      <c r="OT16" s="261">
        <v>8954223.9399999995</v>
      </c>
      <c r="OU16" s="261">
        <v>8431391.2929999996</v>
      </c>
      <c r="OV16" s="262">
        <v>6.2010245857533799E-2</v>
      </c>
      <c r="OW16" s="261">
        <v>49821572.934</v>
      </c>
      <c r="OX16" s="261">
        <v>44685793.781999998</v>
      </c>
      <c r="OY16" s="262">
        <v>0.11493091466730899</v>
      </c>
      <c r="OZ16" s="261">
        <v>8.9999999999999993E-3</v>
      </c>
      <c r="PA16" s="261">
        <v>1.2999999999999999E-2</v>
      </c>
      <c r="PB16" s="262">
        <v>-0.30769230769230799</v>
      </c>
      <c r="PC16" s="261">
        <v>8.9999999999999993E-3</v>
      </c>
      <c r="PD16" s="261">
        <v>1.4E-2</v>
      </c>
      <c r="PE16" s="262">
        <v>-0.35714285714285698</v>
      </c>
      <c r="PF16" s="261">
        <v>6.0999999999999999E-2</v>
      </c>
      <c r="PG16" s="261">
        <v>0.13600000000000001</v>
      </c>
      <c r="PH16" s="262">
        <v>-0.55147058823529405</v>
      </c>
      <c r="PI16" s="261">
        <v>3.8940000000000001</v>
      </c>
      <c r="PJ16" s="261">
        <v>5.8019999999999996</v>
      </c>
      <c r="PK16" s="262">
        <v>-0.328852119958635</v>
      </c>
      <c r="PL16" s="261">
        <v>9.798</v>
      </c>
      <c r="PM16" s="261">
        <v>13.407</v>
      </c>
      <c r="PN16" s="262">
        <v>-0.26918773774893701</v>
      </c>
      <c r="PO16" s="261">
        <v>63.305</v>
      </c>
      <c r="PP16" s="261">
        <v>68.671000000000006</v>
      </c>
      <c r="PQ16" s="262">
        <v>-7.8140699858746901E-2</v>
      </c>
      <c r="PR16" s="261">
        <v>42581.281000000003</v>
      </c>
      <c r="PS16" s="261">
        <v>33932.97</v>
      </c>
      <c r="PT16" s="262">
        <v>0.25486454619209598</v>
      </c>
      <c r="PU16" s="261">
        <v>107622.613</v>
      </c>
      <c r="PV16" s="261">
        <v>91124.021999999997</v>
      </c>
      <c r="PW16" s="262">
        <v>0.18105643976074701</v>
      </c>
      <c r="PX16" s="261">
        <v>529100.45700000005</v>
      </c>
      <c r="PY16" s="261">
        <v>498732.033</v>
      </c>
      <c r="PZ16" s="262">
        <v>6.0891264227256998E-2</v>
      </c>
      <c r="QA16" s="261">
        <v>36337.868999999999</v>
      </c>
      <c r="QB16" s="261">
        <v>37483.338000000003</v>
      </c>
      <c r="QC16" s="262">
        <v>-3.0559418160677299E-2</v>
      </c>
      <c r="QD16" s="261">
        <v>106824.745</v>
      </c>
      <c r="QE16" s="261">
        <v>105260.815</v>
      </c>
      <c r="QF16" s="262">
        <v>1.48576656944941E-2</v>
      </c>
      <c r="QG16" s="261">
        <v>462978.348</v>
      </c>
      <c r="QH16" s="261">
        <v>427507.272</v>
      </c>
      <c r="QI16" s="263">
        <v>8.2971865797875896E-2</v>
      </c>
      <c r="QJ16" s="261">
        <v>4954763.9340000004</v>
      </c>
      <c r="QK16" s="261">
        <v>3995333.04</v>
      </c>
      <c r="QL16" s="262">
        <v>0.240137901995775</v>
      </c>
      <c r="QM16" s="261">
        <v>13908987.874</v>
      </c>
      <c r="QN16" s="261">
        <v>12426724.333000001</v>
      </c>
      <c r="QO16" s="262">
        <v>0.11928031082686399</v>
      </c>
      <c r="QP16" s="261">
        <v>50781003.828000002</v>
      </c>
      <c r="QQ16" s="261">
        <v>44732400.725000001</v>
      </c>
      <c r="QR16" s="262">
        <v>0.13521749347156201</v>
      </c>
      <c r="QS16" s="261">
        <v>1.2999999999999999E-2</v>
      </c>
      <c r="QT16" s="261">
        <v>8.9999999999999993E-3</v>
      </c>
      <c r="QU16" s="262">
        <v>0.44444444444444497</v>
      </c>
      <c r="QV16" s="261">
        <v>2.1999999999999999E-2</v>
      </c>
      <c r="QW16" s="261">
        <v>2.3E-2</v>
      </c>
      <c r="QX16" s="262">
        <v>-4.3478260869565299E-2</v>
      </c>
      <c r="QY16" s="261">
        <v>6.5000000000000002E-2</v>
      </c>
      <c r="QZ16" s="261">
        <v>0.13200000000000001</v>
      </c>
      <c r="RA16" s="262">
        <v>-0.50757575757575801</v>
      </c>
      <c r="RB16" s="261">
        <v>4.67</v>
      </c>
      <c r="RC16" s="261">
        <v>6.532</v>
      </c>
      <c r="RD16" s="262">
        <v>-0.28505817513778298</v>
      </c>
      <c r="RE16" s="261">
        <v>14.468</v>
      </c>
      <c r="RF16" s="261">
        <v>19.939</v>
      </c>
      <c r="RG16" s="262">
        <v>-0.274386879983951</v>
      </c>
      <c r="RH16" s="261">
        <v>61.442999999999998</v>
      </c>
      <c r="RI16" s="261">
        <v>67.831999999999994</v>
      </c>
      <c r="RJ16" s="262">
        <v>-9.4188583559381894E-2</v>
      </c>
      <c r="RK16" s="261">
        <v>59468.370999999999</v>
      </c>
      <c r="RL16" s="261">
        <v>49048.961000000003</v>
      </c>
      <c r="RM16" s="262">
        <v>0.21242876072339201</v>
      </c>
      <c r="RN16" s="261">
        <v>167090.984</v>
      </c>
      <c r="RO16" s="261">
        <v>140172.98300000001</v>
      </c>
      <c r="RP16" s="262">
        <v>0.19203415967826001</v>
      </c>
      <c r="RQ16" s="261">
        <v>539519.86699999997</v>
      </c>
      <c r="RR16" s="261">
        <v>503119.783</v>
      </c>
      <c r="RS16" s="262">
        <v>7.2348743241527402E-2</v>
      </c>
      <c r="RT16" s="261">
        <v>41012.201999999997</v>
      </c>
      <c r="RU16" s="261">
        <v>38331.470999999998</v>
      </c>
      <c r="RV16" s="262">
        <v>6.9935510693028197E-2</v>
      </c>
      <c r="RW16" s="261">
        <v>147836.94699999999</v>
      </c>
      <c r="RX16" s="261">
        <v>143592.28599999999</v>
      </c>
      <c r="RY16" s="262">
        <v>2.9560508563809599E-2</v>
      </c>
      <c r="RZ16" s="261">
        <v>465659.07900000003</v>
      </c>
      <c r="SA16" s="261">
        <v>429698.83100000001</v>
      </c>
      <c r="SB16" s="263">
        <v>8.3687097580212005E-2</v>
      </c>
      <c r="SC16" s="261">
        <v>6124728.0779999997</v>
      </c>
      <c r="SD16" s="261">
        <v>4825029.4409999996</v>
      </c>
      <c r="SE16" s="262">
        <v>0.269365949553799</v>
      </c>
      <c r="SF16" s="261">
        <v>20033715.952</v>
      </c>
      <c r="SG16" s="261">
        <v>17251753.774</v>
      </c>
      <c r="SH16" s="262">
        <v>0.161256775075974</v>
      </c>
      <c r="SI16" s="261">
        <v>52080702.465000004</v>
      </c>
      <c r="SJ16" s="261">
        <v>44522912.490000002</v>
      </c>
      <c r="SK16" s="262">
        <v>0.16975057453165299</v>
      </c>
      <c r="SL16" s="261">
        <v>8.9999999999999993E-3</v>
      </c>
      <c r="SM16" s="261">
        <v>1.4999999999999999E-2</v>
      </c>
      <c r="SN16" s="262">
        <v>-0.4</v>
      </c>
      <c r="SO16" s="261">
        <v>3.1E-2</v>
      </c>
      <c r="SP16" s="261">
        <v>3.7999999999999999E-2</v>
      </c>
      <c r="SQ16" s="262">
        <v>-0.18421052631578899</v>
      </c>
      <c r="SR16" s="261">
        <v>5.8999999999999997E-2</v>
      </c>
      <c r="SS16" s="261">
        <v>0.123</v>
      </c>
      <c r="ST16" s="262">
        <v>-0.52032520325203302</v>
      </c>
      <c r="SU16" s="261">
        <v>6.1950000000000003</v>
      </c>
      <c r="SV16" s="261">
        <v>8.2729999999999997</v>
      </c>
      <c r="SW16" s="262">
        <v>-0.25117853257584899</v>
      </c>
      <c r="SX16" s="261">
        <v>20.663</v>
      </c>
      <c r="SY16" s="261">
        <v>28.212</v>
      </c>
      <c r="SZ16" s="262">
        <v>-0.26758117113285101</v>
      </c>
      <c r="TA16" s="261">
        <v>59.365000000000002</v>
      </c>
      <c r="TB16" s="261">
        <v>68.373999999999995</v>
      </c>
      <c r="TC16" s="262">
        <v>-0.13176061075847501</v>
      </c>
      <c r="TD16" s="261">
        <v>57807.105000000003</v>
      </c>
      <c r="TE16" s="261">
        <v>55148.218999999997</v>
      </c>
      <c r="TF16" s="262">
        <v>4.8213451825162401E-2</v>
      </c>
      <c r="TG16" s="261">
        <v>224898.08900000001</v>
      </c>
      <c r="TH16" s="261">
        <v>195321.20199999999</v>
      </c>
      <c r="TI16" s="262">
        <v>0.15142691472889899</v>
      </c>
      <c r="TJ16" s="261">
        <v>542178.75300000003</v>
      </c>
      <c r="TK16" s="261">
        <v>499880.73499999999</v>
      </c>
      <c r="TL16" s="262">
        <v>8.4616219506839105E-2</v>
      </c>
      <c r="TM16" s="261">
        <v>46822.612999999998</v>
      </c>
      <c r="TN16" s="261">
        <v>44747.519999999997</v>
      </c>
      <c r="TO16" s="262">
        <v>4.6373363261248898E-2</v>
      </c>
      <c r="TP16" s="261">
        <v>194659.56</v>
      </c>
      <c r="TQ16" s="261">
        <v>188339.80600000001</v>
      </c>
      <c r="TR16" s="262">
        <v>3.3555062704057302E-2</v>
      </c>
      <c r="TS16" s="261">
        <v>467734.17200000002</v>
      </c>
      <c r="TT16" s="261">
        <v>438563.2</v>
      </c>
      <c r="TU16" s="263">
        <v>6.6514864904305707E-2</v>
      </c>
      <c r="TV16" s="261">
        <v>7013336.182</v>
      </c>
      <c r="TW16" s="261">
        <v>5932277.8820000002</v>
      </c>
      <c r="TX16" s="262">
        <v>0.18223325365121501</v>
      </c>
      <c r="TY16" s="261">
        <v>27047052.134</v>
      </c>
      <c r="TZ16" s="261">
        <v>23184031.655999999</v>
      </c>
      <c r="UA16" s="262">
        <v>0.16662418924019401</v>
      </c>
      <c r="UB16" s="261">
        <v>53161760.765000001</v>
      </c>
      <c r="UC16" s="261">
        <v>45766288.160999998</v>
      </c>
      <c r="UD16" s="262">
        <v>0.16159214350055401</v>
      </c>
      <c r="UE16" s="261">
        <v>0</v>
      </c>
      <c r="UF16" s="261">
        <v>8.0000000000000002E-3</v>
      </c>
      <c r="UG16" s="262">
        <v>-1</v>
      </c>
      <c r="UH16" s="261">
        <v>3.1E-2</v>
      </c>
      <c r="UI16" s="261">
        <v>4.5999999999999999E-2</v>
      </c>
      <c r="UJ16" s="262">
        <v>-0.32608695652173902</v>
      </c>
      <c r="UK16" s="261">
        <v>5.0999999999999997E-2</v>
      </c>
      <c r="UL16" s="261">
        <v>0.11</v>
      </c>
      <c r="UM16" s="262">
        <v>-0.53636363636363604</v>
      </c>
      <c r="UN16" s="261">
        <v>5.6669999999999998</v>
      </c>
      <c r="UO16" s="261">
        <v>6.9820000000000002</v>
      </c>
      <c r="UP16" s="262">
        <v>-0.188341449441421</v>
      </c>
      <c r="UQ16" s="261">
        <v>26.33</v>
      </c>
      <c r="UR16" s="261">
        <v>35.194000000000003</v>
      </c>
      <c r="US16" s="262">
        <v>-0.25186111268966299</v>
      </c>
      <c r="UT16" s="261">
        <v>58.05</v>
      </c>
      <c r="UU16" s="261">
        <v>67.945999999999998</v>
      </c>
      <c r="UV16" s="262">
        <v>-0.145645071085862</v>
      </c>
      <c r="UW16" s="261">
        <v>69715.850000000006</v>
      </c>
      <c r="UX16" s="261">
        <v>64616.387000000002</v>
      </c>
      <c r="UY16" s="262">
        <v>7.89190364357574E-2</v>
      </c>
      <c r="UZ16" s="261">
        <v>294613.93900000001</v>
      </c>
      <c r="VA16" s="261">
        <v>259937.58900000001</v>
      </c>
      <c r="VB16" s="262">
        <v>0.13340259919083899</v>
      </c>
      <c r="VC16" s="261">
        <v>547278.21600000001</v>
      </c>
      <c r="VD16" s="261">
        <v>511193.92700000003</v>
      </c>
      <c r="VE16" s="262">
        <v>7.0588258377333901E-2</v>
      </c>
      <c r="VF16" s="261">
        <v>48060.447</v>
      </c>
      <c r="VG16" s="261">
        <v>42657.446000000004</v>
      </c>
      <c r="VH16" s="262">
        <v>0.126660208395974</v>
      </c>
      <c r="VI16" s="261">
        <v>242720.00700000001</v>
      </c>
      <c r="VJ16" s="261">
        <v>230997.25200000001</v>
      </c>
      <c r="VK16" s="262">
        <v>5.0748460851819999E-2</v>
      </c>
      <c r="VL16" s="261">
        <v>473137.17300000001</v>
      </c>
      <c r="VM16" s="261">
        <v>444861.46399999998</v>
      </c>
      <c r="VN16" s="263">
        <v>6.3560706620342494E-2</v>
      </c>
    </row>
    <row r="17" spans="1:586">
      <c r="A17" s="267" t="s">
        <v>7</v>
      </c>
      <c r="B17" s="261">
        <v>486226.61499999999</v>
      </c>
      <c r="C17" s="261">
        <v>494558.02</v>
      </c>
      <c r="D17" s="262">
        <v>-1.68461629638521E-2</v>
      </c>
      <c r="E17" s="261">
        <v>1741464.41</v>
      </c>
      <c r="F17" s="261">
        <v>1959979.9280000001</v>
      </c>
      <c r="G17" s="262">
        <v>-0.11148865091847</v>
      </c>
      <c r="H17" s="261">
        <v>3908855.051</v>
      </c>
      <c r="I17" s="261">
        <v>4279611.2240000004</v>
      </c>
      <c r="J17" s="262">
        <v>-8.6633143431535303E-2</v>
      </c>
      <c r="K17" s="261">
        <v>0</v>
      </c>
      <c r="L17" s="261">
        <v>0</v>
      </c>
      <c r="M17" s="262">
        <v>0</v>
      </c>
      <c r="N17" s="261">
        <v>0</v>
      </c>
      <c r="O17" s="261">
        <v>0</v>
      </c>
      <c r="P17" s="262">
        <v>0</v>
      </c>
      <c r="Q17" s="261">
        <v>0</v>
      </c>
      <c r="R17" s="261">
        <v>0</v>
      </c>
      <c r="S17" s="262">
        <v>0</v>
      </c>
      <c r="T17" s="261">
        <v>0</v>
      </c>
      <c r="U17" s="261">
        <v>0</v>
      </c>
      <c r="V17" s="262">
        <v>0</v>
      </c>
      <c r="W17" s="261">
        <v>0</v>
      </c>
      <c r="X17" s="261">
        <v>0</v>
      </c>
      <c r="Y17" s="262">
        <v>0</v>
      </c>
      <c r="Z17" s="261">
        <v>0</v>
      </c>
      <c r="AA17" s="261">
        <v>0</v>
      </c>
      <c r="AB17" s="262">
        <v>0</v>
      </c>
      <c r="AC17" s="261">
        <v>0</v>
      </c>
      <c r="AD17" s="261">
        <v>0</v>
      </c>
      <c r="AE17" s="262">
        <v>0</v>
      </c>
      <c r="AF17" s="261">
        <v>0</v>
      </c>
      <c r="AG17" s="261">
        <v>0</v>
      </c>
      <c r="AH17" s="262">
        <v>0</v>
      </c>
      <c r="AI17" s="261">
        <v>0</v>
      </c>
      <c r="AJ17" s="261">
        <v>0</v>
      </c>
      <c r="AK17" s="262">
        <v>0</v>
      </c>
      <c r="AL17" s="261">
        <v>0</v>
      </c>
      <c r="AM17" s="261">
        <v>0</v>
      </c>
      <c r="AN17" s="262">
        <v>0</v>
      </c>
      <c r="AO17" s="261">
        <v>0</v>
      </c>
      <c r="AP17" s="261">
        <v>0</v>
      </c>
      <c r="AQ17" s="262">
        <v>0</v>
      </c>
      <c r="AR17" s="261">
        <v>0</v>
      </c>
      <c r="AS17" s="261">
        <v>0</v>
      </c>
      <c r="AT17" s="263">
        <v>0</v>
      </c>
      <c r="AU17" s="261">
        <v>660856.51300000004</v>
      </c>
      <c r="AV17" s="261">
        <v>674743.076</v>
      </c>
      <c r="AW17" s="262">
        <v>-2.0580519450932401E-2</v>
      </c>
      <c r="AX17" s="261">
        <v>2402320.923</v>
      </c>
      <c r="AY17" s="261">
        <v>2634723.0040000002</v>
      </c>
      <c r="AZ17" s="262">
        <v>-8.8207405730003005E-2</v>
      </c>
      <c r="BA17" s="261">
        <v>3894968.4879999999</v>
      </c>
      <c r="BB17" s="261">
        <v>4185708.9219999998</v>
      </c>
      <c r="BC17" s="262">
        <v>-6.9460260954094105E-2</v>
      </c>
      <c r="BD17" s="261">
        <v>0</v>
      </c>
      <c r="BE17" s="261">
        <v>0</v>
      </c>
      <c r="BF17" s="262">
        <v>0</v>
      </c>
      <c r="BG17" s="261">
        <v>0</v>
      </c>
      <c r="BH17" s="261">
        <v>0</v>
      </c>
      <c r="BI17" s="262">
        <v>0</v>
      </c>
      <c r="BJ17" s="261">
        <v>0</v>
      </c>
      <c r="BK17" s="261">
        <v>0</v>
      </c>
      <c r="BL17" s="262">
        <v>0</v>
      </c>
      <c r="BM17" s="261">
        <v>0</v>
      </c>
      <c r="BN17" s="261">
        <v>0</v>
      </c>
      <c r="BO17" s="262">
        <v>0</v>
      </c>
      <c r="BP17" s="261">
        <v>0</v>
      </c>
      <c r="BQ17" s="261">
        <v>0</v>
      </c>
      <c r="BR17" s="262">
        <v>0</v>
      </c>
      <c r="BS17" s="261">
        <v>0</v>
      </c>
      <c r="BT17" s="261">
        <v>0</v>
      </c>
      <c r="BU17" s="262">
        <v>0</v>
      </c>
      <c r="BV17" s="261">
        <v>0</v>
      </c>
      <c r="BW17" s="261">
        <v>0</v>
      </c>
      <c r="BX17" s="262">
        <v>0</v>
      </c>
      <c r="BY17" s="261">
        <v>0</v>
      </c>
      <c r="BZ17" s="261">
        <v>0</v>
      </c>
      <c r="CA17" s="262">
        <v>0</v>
      </c>
      <c r="CB17" s="261">
        <v>0</v>
      </c>
      <c r="CC17" s="261">
        <v>0</v>
      </c>
      <c r="CD17" s="262">
        <v>0</v>
      </c>
      <c r="CE17" s="261">
        <v>0</v>
      </c>
      <c r="CF17" s="261">
        <v>0</v>
      </c>
      <c r="CG17" s="262">
        <v>0</v>
      </c>
      <c r="CH17" s="261">
        <v>0</v>
      </c>
      <c r="CI17" s="261">
        <v>0</v>
      </c>
      <c r="CJ17" s="262">
        <v>0</v>
      </c>
      <c r="CK17" s="261">
        <v>0</v>
      </c>
      <c r="CL17" s="261">
        <v>0</v>
      </c>
      <c r="CM17" s="263">
        <v>0</v>
      </c>
      <c r="CN17" s="261">
        <v>488102.93800000002</v>
      </c>
      <c r="CO17" s="261">
        <v>671160.86600000004</v>
      </c>
      <c r="CP17" s="262">
        <v>-0.27274821473277</v>
      </c>
      <c r="CQ17" s="261">
        <v>2890423.861</v>
      </c>
      <c r="CR17" s="261">
        <v>3305883.87</v>
      </c>
      <c r="CS17" s="262">
        <v>-0.125672898788184</v>
      </c>
      <c r="CT17" s="261">
        <v>3711910.56</v>
      </c>
      <c r="CU17" s="261">
        <v>4136983.9789999998</v>
      </c>
      <c r="CV17" s="262">
        <v>-0.10274959273657799</v>
      </c>
      <c r="CW17" s="261">
        <v>0</v>
      </c>
      <c r="CX17" s="261">
        <v>0</v>
      </c>
      <c r="CY17" s="262">
        <v>0</v>
      </c>
      <c r="CZ17" s="261">
        <v>0</v>
      </c>
      <c r="DA17" s="261">
        <v>0</v>
      </c>
      <c r="DB17" s="262">
        <v>0</v>
      </c>
      <c r="DC17" s="261">
        <v>0</v>
      </c>
      <c r="DD17" s="261">
        <v>0</v>
      </c>
      <c r="DE17" s="262">
        <v>0</v>
      </c>
      <c r="DF17" s="261">
        <v>0</v>
      </c>
      <c r="DG17" s="261">
        <v>0</v>
      </c>
      <c r="DH17" s="262">
        <v>0</v>
      </c>
      <c r="DI17" s="261">
        <v>0</v>
      </c>
      <c r="DJ17" s="261">
        <v>0</v>
      </c>
      <c r="DK17" s="262">
        <v>0</v>
      </c>
      <c r="DL17" s="261">
        <v>0</v>
      </c>
      <c r="DM17" s="261">
        <v>0</v>
      </c>
      <c r="DN17" s="262">
        <v>0</v>
      </c>
      <c r="DO17" s="261">
        <v>0</v>
      </c>
      <c r="DP17" s="261">
        <v>0</v>
      </c>
      <c r="DQ17" s="262">
        <v>0</v>
      </c>
      <c r="DR17" s="261">
        <v>0</v>
      </c>
      <c r="DS17" s="261">
        <v>0</v>
      </c>
      <c r="DT17" s="262">
        <v>0</v>
      </c>
      <c r="DU17" s="261">
        <v>0</v>
      </c>
      <c r="DV17" s="261">
        <v>0</v>
      </c>
      <c r="DW17" s="262">
        <v>0</v>
      </c>
      <c r="DX17" s="261">
        <v>0</v>
      </c>
      <c r="DY17" s="261">
        <v>0</v>
      </c>
      <c r="DZ17" s="262">
        <v>0</v>
      </c>
      <c r="EA17" s="261">
        <v>0</v>
      </c>
      <c r="EB17" s="261">
        <v>0</v>
      </c>
      <c r="EC17" s="262">
        <v>0</v>
      </c>
      <c r="ED17" s="261">
        <v>0</v>
      </c>
      <c r="EE17" s="261">
        <v>0</v>
      </c>
      <c r="EF17" s="263">
        <v>0</v>
      </c>
      <c r="EG17" s="261">
        <v>396082.16200000001</v>
      </c>
      <c r="EH17" s="261">
        <v>459969.576</v>
      </c>
      <c r="EI17" s="262">
        <v>-0.138894868994553</v>
      </c>
      <c r="EJ17" s="261">
        <v>3286506.023</v>
      </c>
      <c r="EK17" s="261">
        <v>3765853.446</v>
      </c>
      <c r="EL17" s="262">
        <v>-0.12728785914628499</v>
      </c>
      <c r="EM17" s="261">
        <v>3648023.1460000002</v>
      </c>
      <c r="EN17" s="261">
        <v>4195935.733</v>
      </c>
      <c r="EO17" s="262">
        <v>-0.130581739536858</v>
      </c>
      <c r="EP17" s="261">
        <v>0</v>
      </c>
      <c r="EQ17" s="261">
        <v>0</v>
      </c>
      <c r="ER17" s="262">
        <v>0</v>
      </c>
      <c r="ES17" s="261">
        <v>0</v>
      </c>
      <c r="ET17" s="261">
        <v>0</v>
      </c>
      <c r="EU17" s="262">
        <v>0</v>
      </c>
      <c r="EV17" s="261">
        <v>0</v>
      </c>
      <c r="EW17" s="261">
        <v>0</v>
      </c>
      <c r="EX17" s="262">
        <v>0</v>
      </c>
      <c r="EY17" s="261">
        <v>0</v>
      </c>
      <c r="EZ17" s="261">
        <v>0</v>
      </c>
      <c r="FA17" s="262">
        <v>0</v>
      </c>
      <c r="FB17" s="261">
        <v>0</v>
      </c>
      <c r="FC17" s="261">
        <v>0</v>
      </c>
      <c r="FD17" s="262">
        <v>0</v>
      </c>
      <c r="FE17" s="261">
        <v>0</v>
      </c>
      <c r="FF17" s="261">
        <v>0</v>
      </c>
      <c r="FG17" s="262">
        <v>0</v>
      </c>
      <c r="FH17" s="261">
        <v>0</v>
      </c>
      <c r="FI17" s="261">
        <v>0</v>
      </c>
      <c r="FJ17" s="262">
        <v>0</v>
      </c>
      <c r="FK17" s="261">
        <v>0</v>
      </c>
      <c r="FL17" s="261">
        <v>0</v>
      </c>
      <c r="FM17" s="262">
        <v>0</v>
      </c>
      <c r="FN17" s="261">
        <v>0</v>
      </c>
      <c r="FO17" s="261">
        <v>0</v>
      </c>
      <c r="FP17" s="262">
        <v>0</v>
      </c>
      <c r="FQ17" s="261">
        <v>0</v>
      </c>
      <c r="FR17" s="261">
        <v>0</v>
      </c>
      <c r="FS17" s="262">
        <v>0</v>
      </c>
      <c r="FT17" s="261">
        <v>0</v>
      </c>
      <c r="FU17" s="261">
        <v>0</v>
      </c>
      <c r="FV17" s="262">
        <v>0</v>
      </c>
      <c r="FW17" s="261">
        <v>0</v>
      </c>
      <c r="FX17" s="261">
        <v>0</v>
      </c>
      <c r="FY17" s="263">
        <v>0</v>
      </c>
      <c r="FZ17" s="261">
        <v>237034.073</v>
      </c>
      <c r="GA17" s="261">
        <v>153796.77900000001</v>
      </c>
      <c r="GB17" s="262">
        <v>0.54121610700312495</v>
      </c>
      <c r="GC17" s="261">
        <v>3523540.0959999999</v>
      </c>
      <c r="GD17" s="261">
        <v>3919650.2250000001</v>
      </c>
      <c r="GE17" s="262">
        <v>-0.10105751948823399</v>
      </c>
      <c r="GF17" s="261">
        <v>3731260.44</v>
      </c>
      <c r="GG17" s="261">
        <v>4122994.3130000001</v>
      </c>
      <c r="GH17" s="262">
        <v>-9.50119848006689E-2</v>
      </c>
      <c r="GI17" s="261">
        <v>0</v>
      </c>
      <c r="GJ17" s="261">
        <v>0</v>
      </c>
      <c r="GK17" s="262">
        <v>0</v>
      </c>
      <c r="GL17" s="261">
        <v>0</v>
      </c>
      <c r="GM17" s="261">
        <v>0</v>
      </c>
      <c r="GN17" s="262">
        <v>0</v>
      </c>
      <c r="GO17" s="261">
        <v>0</v>
      </c>
      <c r="GP17" s="261">
        <v>0</v>
      </c>
      <c r="GQ17" s="262">
        <v>0</v>
      </c>
      <c r="GR17" s="261">
        <v>0</v>
      </c>
      <c r="GS17" s="261">
        <v>0</v>
      </c>
      <c r="GT17" s="262">
        <v>0</v>
      </c>
      <c r="GU17" s="261">
        <v>0</v>
      </c>
      <c r="GV17" s="261">
        <v>0</v>
      </c>
      <c r="GW17" s="262">
        <v>0</v>
      </c>
      <c r="GX17" s="261">
        <v>0</v>
      </c>
      <c r="GY17" s="261">
        <v>0</v>
      </c>
      <c r="GZ17" s="262">
        <v>0</v>
      </c>
      <c r="HA17" s="261">
        <v>0</v>
      </c>
      <c r="HB17" s="261">
        <v>0</v>
      </c>
      <c r="HC17" s="262">
        <v>0</v>
      </c>
      <c r="HD17" s="261">
        <v>0</v>
      </c>
      <c r="HE17" s="261">
        <v>0</v>
      </c>
      <c r="HF17" s="262">
        <v>0</v>
      </c>
      <c r="HG17" s="261">
        <v>0</v>
      </c>
      <c r="HH17" s="261">
        <v>0</v>
      </c>
      <c r="HI17" s="262">
        <v>0</v>
      </c>
      <c r="HJ17" s="261">
        <v>0</v>
      </c>
      <c r="HK17" s="261">
        <v>0</v>
      </c>
      <c r="HL17" s="262">
        <v>0</v>
      </c>
      <c r="HM17" s="261">
        <v>0</v>
      </c>
      <c r="HN17" s="261">
        <v>0</v>
      </c>
      <c r="HO17" s="262">
        <v>0</v>
      </c>
      <c r="HP17" s="261">
        <v>0</v>
      </c>
      <c r="HQ17" s="261">
        <v>0</v>
      </c>
      <c r="HR17" s="263">
        <v>0</v>
      </c>
      <c r="HS17" s="261">
        <v>110075.363</v>
      </c>
      <c r="HT17" s="261">
        <v>97190.021999999997</v>
      </c>
      <c r="HU17" s="262">
        <v>0.13257884641697101</v>
      </c>
      <c r="HV17" s="261">
        <v>3633615.4589999998</v>
      </c>
      <c r="HW17" s="261">
        <v>4016840.247</v>
      </c>
      <c r="HX17" s="262">
        <v>-9.5404538003773895E-2</v>
      </c>
      <c r="HY17" s="261">
        <v>3744145.781</v>
      </c>
      <c r="HZ17" s="261">
        <v>4108899.9649999999</v>
      </c>
      <c r="IA17" s="262">
        <v>-8.8771736257151707E-2</v>
      </c>
      <c r="IB17" s="261">
        <v>0</v>
      </c>
      <c r="IC17" s="261">
        <v>0</v>
      </c>
      <c r="ID17" s="262">
        <v>0</v>
      </c>
      <c r="IE17" s="261">
        <v>0</v>
      </c>
      <c r="IF17" s="261">
        <v>0</v>
      </c>
      <c r="IG17" s="262">
        <v>0</v>
      </c>
      <c r="IH17" s="261">
        <v>0</v>
      </c>
      <c r="II17" s="261">
        <v>0</v>
      </c>
      <c r="IJ17" s="262">
        <v>0</v>
      </c>
      <c r="IK17" s="261">
        <v>0</v>
      </c>
      <c r="IL17" s="261">
        <v>0</v>
      </c>
      <c r="IM17" s="262">
        <v>0</v>
      </c>
      <c r="IN17" s="261">
        <v>0</v>
      </c>
      <c r="IO17" s="261">
        <v>0</v>
      </c>
      <c r="IP17" s="262">
        <v>0</v>
      </c>
      <c r="IQ17" s="261">
        <v>0</v>
      </c>
      <c r="IR17" s="261">
        <v>0</v>
      </c>
      <c r="IS17" s="262">
        <v>0</v>
      </c>
      <c r="IT17" s="261">
        <v>0</v>
      </c>
      <c r="IU17" s="261">
        <v>0</v>
      </c>
      <c r="IV17" s="262">
        <v>0</v>
      </c>
      <c r="IW17" s="261">
        <v>0</v>
      </c>
      <c r="IX17" s="261">
        <v>0</v>
      </c>
      <c r="IY17" s="262">
        <v>0</v>
      </c>
      <c r="IZ17" s="261">
        <v>0</v>
      </c>
      <c r="JA17" s="261">
        <v>0</v>
      </c>
      <c r="JB17" s="262">
        <v>0</v>
      </c>
      <c r="JC17" s="261">
        <v>0</v>
      </c>
      <c r="JD17" s="261">
        <v>0</v>
      </c>
      <c r="JE17" s="262">
        <v>0</v>
      </c>
      <c r="JF17" s="261">
        <v>0</v>
      </c>
      <c r="JG17" s="261">
        <v>0</v>
      </c>
      <c r="JH17" s="262">
        <v>0</v>
      </c>
      <c r="JI17" s="261">
        <v>0</v>
      </c>
      <c r="JJ17" s="261">
        <v>0</v>
      </c>
      <c r="JK17" s="263">
        <v>0</v>
      </c>
      <c r="JL17" s="261">
        <v>48384.063000000002</v>
      </c>
      <c r="JM17" s="261">
        <v>110530.322</v>
      </c>
      <c r="JN17" s="262">
        <v>-0.56225529678634201</v>
      </c>
      <c r="JO17" s="261">
        <v>3681999.5219999999</v>
      </c>
      <c r="JP17" s="261">
        <v>4127370.5690000001</v>
      </c>
      <c r="JQ17" s="262">
        <v>-0.107906726462874</v>
      </c>
      <c r="JR17" s="261">
        <v>3681999.5219999999</v>
      </c>
      <c r="JS17" s="261">
        <v>4127370.5690000001</v>
      </c>
      <c r="JT17" s="262">
        <v>-0.107906726462874</v>
      </c>
      <c r="JU17" s="261">
        <v>0</v>
      </c>
      <c r="JV17" s="261">
        <v>0</v>
      </c>
      <c r="JW17" s="262">
        <v>0</v>
      </c>
      <c r="JX17" s="261">
        <v>0</v>
      </c>
      <c r="JY17" s="261">
        <v>0</v>
      </c>
      <c r="JZ17" s="262">
        <v>0</v>
      </c>
      <c r="KA17" s="261">
        <v>0</v>
      </c>
      <c r="KB17" s="261">
        <v>0</v>
      </c>
      <c r="KC17" s="262">
        <v>0</v>
      </c>
      <c r="KD17" s="261">
        <v>0</v>
      </c>
      <c r="KE17" s="261">
        <v>0</v>
      </c>
      <c r="KF17" s="262">
        <v>0</v>
      </c>
      <c r="KG17" s="261">
        <v>0</v>
      </c>
      <c r="KH17" s="261">
        <v>0</v>
      </c>
      <c r="KI17" s="262">
        <v>0</v>
      </c>
      <c r="KJ17" s="261">
        <v>0</v>
      </c>
      <c r="KK17" s="261">
        <v>0</v>
      </c>
      <c r="KL17" s="262">
        <v>0</v>
      </c>
      <c r="KM17" s="261">
        <v>0</v>
      </c>
      <c r="KN17" s="261">
        <v>0</v>
      </c>
      <c r="KO17" s="262">
        <v>0</v>
      </c>
      <c r="KP17" s="261">
        <v>0</v>
      </c>
      <c r="KQ17" s="261">
        <v>0</v>
      </c>
      <c r="KR17" s="262">
        <v>0</v>
      </c>
      <c r="KS17" s="261">
        <v>0</v>
      </c>
      <c r="KT17" s="261">
        <v>0</v>
      </c>
      <c r="KU17" s="262">
        <v>0</v>
      </c>
      <c r="KV17" s="261">
        <v>0</v>
      </c>
      <c r="KW17" s="261">
        <v>0</v>
      </c>
      <c r="KX17" s="262">
        <v>0</v>
      </c>
      <c r="KY17" s="261">
        <v>0</v>
      </c>
      <c r="KZ17" s="261">
        <v>0</v>
      </c>
      <c r="LA17" s="262">
        <v>0</v>
      </c>
      <c r="LB17" s="261">
        <v>0</v>
      </c>
      <c r="LC17" s="261">
        <v>0</v>
      </c>
      <c r="LD17" s="263">
        <v>0</v>
      </c>
      <c r="LE17" s="261">
        <v>35180.328000000001</v>
      </c>
      <c r="LF17" s="261">
        <v>88888.021999999997</v>
      </c>
      <c r="LG17" s="262">
        <v>-0.60421745013068195</v>
      </c>
      <c r="LH17" s="261">
        <v>35180.328000000001</v>
      </c>
      <c r="LI17" s="261">
        <v>88888.021999999997</v>
      </c>
      <c r="LJ17" s="262">
        <v>-0.60421745013068195</v>
      </c>
      <c r="LK17" s="261">
        <v>3628291.8280000002</v>
      </c>
      <c r="LL17" s="261">
        <v>4122015.6239999998</v>
      </c>
      <c r="LM17" s="262">
        <v>-0.11977727428429601</v>
      </c>
      <c r="LN17" s="261">
        <v>0</v>
      </c>
      <c r="LO17" s="261">
        <v>0</v>
      </c>
      <c r="LP17" s="262">
        <v>0</v>
      </c>
      <c r="LQ17" s="261">
        <v>0</v>
      </c>
      <c r="LR17" s="261">
        <v>0</v>
      </c>
      <c r="LS17" s="262">
        <v>0</v>
      </c>
      <c r="LT17" s="261">
        <v>0</v>
      </c>
      <c r="LU17" s="261">
        <v>0</v>
      </c>
      <c r="LV17" s="262">
        <v>0</v>
      </c>
      <c r="LW17" s="261">
        <v>0</v>
      </c>
      <c r="LX17" s="261">
        <v>0</v>
      </c>
      <c r="LY17" s="262">
        <v>0</v>
      </c>
      <c r="LZ17" s="261">
        <v>0</v>
      </c>
      <c r="MA17" s="261">
        <v>0</v>
      </c>
      <c r="MB17" s="262">
        <v>0</v>
      </c>
      <c r="MC17" s="261">
        <v>0</v>
      </c>
      <c r="MD17" s="261">
        <v>0</v>
      </c>
      <c r="ME17" s="262">
        <v>0</v>
      </c>
      <c r="MF17" s="261">
        <v>0</v>
      </c>
      <c r="MG17" s="261">
        <v>0</v>
      </c>
      <c r="MH17" s="262">
        <v>0</v>
      </c>
      <c r="MI17" s="261">
        <v>0</v>
      </c>
      <c r="MJ17" s="261">
        <v>0</v>
      </c>
      <c r="MK17" s="262">
        <v>0</v>
      </c>
      <c r="ML17" s="261">
        <v>0</v>
      </c>
      <c r="MM17" s="261">
        <v>0</v>
      </c>
      <c r="MN17" s="262">
        <v>0</v>
      </c>
      <c r="MO17" s="261">
        <v>0</v>
      </c>
      <c r="MP17" s="261">
        <v>0</v>
      </c>
      <c r="MQ17" s="262">
        <v>0</v>
      </c>
      <c r="MR17" s="261">
        <v>0</v>
      </c>
      <c r="MS17" s="261">
        <v>0</v>
      </c>
      <c r="MT17" s="262">
        <v>0</v>
      </c>
      <c r="MU17" s="261">
        <v>0</v>
      </c>
      <c r="MV17" s="261">
        <v>0</v>
      </c>
      <c r="MW17" s="263">
        <v>0</v>
      </c>
      <c r="MX17" s="261">
        <v>132877.106</v>
      </c>
      <c r="MY17" s="261">
        <v>174043.70499999999</v>
      </c>
      <c r="MZ17" s="262">
        <v>-0.236530238195056</v>
      </c>
      <c r="NA17" s="261">
        <v>168057.43400000001</v>
      </c>
      <c r="NB17" s="261">
        <v>262931.72700000001</v>
      </c>
      <c r="NC17" s="262">
        <v>-0.36083242628228002</v>
      </c>
      <c r="ND17" s="261">
        <v>3587125.2289999998</v>
      </c>
      <c r="NE17" s="261">
        <v>4119642.4709999999</v>
      </c>
      <c r="NF17" s="262">
        <v>-0.12926297506364401</v>
      </c>
      <c r="NG17" s="261">
        <v>0</v>
      </c>
      <c r="NH17" s="261">
        <v>0</v>
      </c>
      <c r="NI17" s="262">
        <v>0</v>
      </c>
      <c r="NJ17" s="261">
        <v>0</v>
      </c>
      <c r="NK17" s="261">
        <v>0</v>
      </c>
      <c r="NL17" s="262">
        <v>0</v>
      </c>
      <c r="NM17" s="261">
        <v>0</v>
      </c>
      <c r="NN17" s="261">
        <v>0</v>
      </c>
      <c r="NO17" s="262">
        <v>0</v>
      </c>
      <c r="NP17" s="261">
        <v>0</v>
      </c>
      <c r="NQ17" s="261">
        <v>0</v>
      </c>
      <c r="NR17" s="262">
        <v>0</v>
      </c>
      <c r="NS17" s="261">
        <v>0</v>
      </c>
      <c r="NT17" s="261">
        <v>0</v>
      </c>
      <c r="NU17" s="262">
        <v>0</v>
      </c>
      <c r="NV17" s="261">
        <v>0</v>
      </c>
      <c r="NW17" s="261">
        <v>0</v>
      </c>
      <c r="NX17" s="262">
        <v>0</v>
      </c>
      <c r="NY17" s="261">
        <v>0</v>
      </c>
      <c r="NZ17" s="261">
        <v>0</v>
      </c>
      <c r="OA17" s="262">
        <v>0</v>
      </c>
      <c r="OB17" s="261">
        <v>0</v>
      </c>
      <c r="OC17" s="261">
        <v>0</v>
      </c>
      <c r="OD17" s="262">
        <v>0</v>
      </c>
      <c r="OE17" s="261">
        <v>0</v>
      </c>
      <c r="OF17" s="261">
        <v>0</v>
      </c>
      <c r="OG17" s="262">
        <v>0</v>
      </c>
      <c r="OH17" s="261">
        <v>0</v>
      </c>
      <c r="OI17" s="261">
        <v>0</v>
      </c>
      <c r="OJ17" s="262">
        <v>0</v>
      </c>
      <c r="OK17" s="261">
        <v>0</v>
      </c>
      <c r="OL17" s="261">
        <v>0</v>
      </c>
      <c r="OM17" s="262">
        <v>0</v>
      </c>
      <c r="ON17" s="261">
        <v>0</v>
      </c>
      <c r="OO17" s="261">
        <v>0</v>
      </c>
      <c r="OP17" s="263">
        <v>0</v>
      </c>
      <c r="OQ17" s="261">
        <v>321984.67700000003</v>
      </c>
      <c r="OR17" s="261">
        <v>187268.125</v>
      </c>
      <c r="OS17" s="262">
        <v>0.71937790801291002</v>
      </c>
      <c r="OT17" s="261">
        <v>490042.11099999998</v>
      </c>
      <c r="OU17" s="261">
        <v>450199.85200000001</v>
      </c>
      <c r="OV17" s="262">
        <v>8.8499049528785595E-2</v>
      </c>
      <c r="OW17" s="261">
        <v>3721841.781</v>
      </c>
      <c r="OX17" s="261">
        <v>4155169.6409999998</v>
      </c>
      <c r="OY17" s="262">
        <v>-0.10428644253757</v>
      </c>
      <c r="OZ17" s="261">
        <v>0</v>
      </c>
      <c r="PA17" s="261">
        <v>0</v>
      </c>
      <c r="PB17" s="262">
        <v>0</v>
      </c>
      <c r="PC17" s="261">
        <v>0</v>
      </c>
      <c r="PD17" s="261">
        <v>0</v>
      </c>
      <c r="PE17" s="262">
        <v>0</v>
      </c>
      <c r="PF17" s="261">
        <v>0</v>
      </c>
      <c r="PG17" s="261">
        <v>0</v>
      </c>
      <c r="PH17" s="262">
        <v>0</v>
      </c>
      <c r="PI17" s="261">
        <v>0</v>
      </c>
      <c r="PJ17" s="261">
        <v>0</v>
      </c>
      <c r="PK17" s="262">
        <v>0</v>
      </c>
      <c r="PL17" s="261">
        <v>0</v>
      </c>
      <c r="PM17" s="261">
        <v>0</v>
      </c>
      <c r="PN17" s="262">
        <v>0</v>
      </c>
      <c r="PO17" s="261">
        <v>0</v>
      </c>
      <c r="PP17" s="261">
        <v>0</v>
      </c>
      <c r="PQ17" s="262">
        <v>0</v>
      </c>
      <c r="PR17" s="261">
        <v>0</v>
      </c>
      <c r="PS17" s="261">
        <v>0</v>
      </c>
      <c r="PT17" s="262">
        <v>0</v>
      </c>
      <c r="PU17" s="261">
        <v>0</v>
      </c>
      <c r="PV17" s="261">
        <v>0</v>
      </c>
      <c r="PW17" s="262">
        <v>0</v>
      </c>
      <c r="PX17" s="261">
        <v>0</v>
      </c>
      <c r="PY17" s="261">
        <v>0</v>
      </c>
      <c r="PZ17" s="262">
        <v>0</v>
      </c>
      <c r="QA17" s="261">
        <v>0</v>
      </c>
      <c r="QB17" s="261">
        <v>0</v>
      </c>
      <c r="QC17" s="262">
        <v>0</v>
      </c>
      <c r="QD17" s="261">
        <v>0</v>
      </c>
      <c r="QE17" s="261">
        <v>0</v>
      </c>
      <c r="QF17" s="262">
        <v>0</v>
      </c>
      <c r="QG17" s="261">
        <v>0</v>
      </c>
      <c r="QH17" s="261">
        <v>0</v>
      </c>
      <c r="QI17" s="263">
        <v>0</v>
      </c>
      <c r="QJ17" s="261">
        <v>367126.81900000002</v>
      </c>
      <c r="QK17" s="261">
        <v>311215.429</v>
      </c>
      <c r="QL17" s="262">
        <v>0.179654942493227</v>
      </c>
      <c r="QM17" s="261">
        <v>857168.93</v>
      </c>
      <c r="QN17" s="261">
        <v>761415.28099999996</v>
      </c>
      <c r="QO17" s="262">
        <v>0.125757456396518</v>
      </c>
      <c r="QP17" s="261">
        <v>3777753.1710000001</v>
      </c>
      <c r="QQ17" s="261">
        <v>4023065.628</v>
      </c>
      <c r="QR17" s="262">
        <v>-6.09764989396787E-2</v>
      </c>
      <c r="QS17" s="261">
        <v>0</v>
      </c>
      <c r="QT17" s="261">
        <v>0</v>
      </c>
      <c r="QU17" s="262">
        <v>0</v>
      </c>
      <c r="QV17" s="261">
        <v>0</v>
      </c>
      <c r="QW17" s="261">
        <v>0</v>
      </c>
      <c r="QX17" s="262">
        <v>0</v>
      </c>
      <c r="QY17" s="261">
        <v>0</v>
      </c>
      <c r="QZ17" s="261">
        <v>0</v>
      </c>
      <c r="RA17" s="262">
        <v>0</v>
      </c>
      <c r="RB17" s="261">
        <v>0</v>
      </c>
      <c r="RC17" s="261">
        <v>0</v>
      </c>
      <c r="RD17" s="262">
        <v>0</v>
      </c>
      <c r="RE17" s="261">
        <v>0</v>
      </c>
      <c r="RF17" s="261">
        <v>0</v>
      </c>
      <c r="RG17" s="262">
        <v>0</v>
      </c>
      <c r="RH17" s="261">
        <v>0</v>
      </c>
      <c r="RI17" s="261">
        <v>0</v>
      </c>
      <c r="RJ17" s="262">
        <v>0</v>
      </c>
      <c r="RK17" s="261">
        <v>0</v>
      </c>
      <c r="RL17" s="261">
        <v>0</v>
      </c>
      <c r="RM17" s="262">
        <v>0</v>
      </c>
      <c r="RN17" s="261">
        <v>0</v>
      </c>
      <c r="RO17" s="261">
        <v>0</v>
      </c>
      <c r="RP17" s="262">
        <v>0</v>
      </c>
      <c r="RQ17" s="261">
        <v>0</v>
      </c>
      <c r="RR17" s="261">
        <v>0</v>
      </c>
      <c r="RS17" s="262">
        <v>0</v>
      </c>
      <c r="RT17" s="261">
        <v>0</v>
      </c>
      <c r="RU17" s="261">
        <v>0</v>
      </c>
      <c r="RV17" s="262">
        <v>0</v>
      </c>
      <c r="RW17" s="261">
        <v>0</v>
      </c>
      <c r="RX17" s="261">
        <v>0</v>
      </c>
      <c r="RY17" s="262">
        <v>0</v>
      </c>
      <c r="RZ17" s="261">
        <v>0</v>
      </c>
      <c r="SA17" s="261">
        <v>0</v>
      </c>
      <c r="SB17" s="263">
        <v>0</v>
      </c>
      <c r="SC17" s="261">
        <v>514993.24400000001</v>
      </c>
      <c r="SD17" s="261">
        <v>493822.51400000002</v>
      </c>
      <c r="SE17" s="262">
        <v>4.2871131630908103E-2</v>
      </c>
      <c r="SF17" s="261">
        <v>1372162.1740000001</v>
      </c>
      <c r="SG17" s="261">
        <v>1255237.7949999999</v>
      </c>
      <c r="SH17" s="262">
        <v>9.3149186126920497E-2</v>
      </c>
      <c r="SI17" s="261">
        <v>3798923.9010000001</v>
      </c>
      <c r="SJ17" s="261">
        <v>3917186.4559999998</v>
      </c>
      <c r="SK17" s="262">
        <v>-3.0190688221862799E-2</v>
      </c>
      <c r="SL17" s="261">
        <v>0</v>
      </c>
      <c r="SM17" s="261">
        <v>0</v>
      </c>
      <c r="SN17" s="262">
        <v>0</v>
      </c>
      <c r="SO17" s="261">
        <v>0</v>
      </c>
      <c r="SP17" s="261">
        <v>0</v>
      </c>
      <c r="SQ17" s="262">
        <v>0</v>
      </c>
      <c r="SR17" s="261">
        <v>0</v>
      </c>
      <c r="SS17" s="261">
        <v>0</v>
      </c>
      <c r="ST17" s="262">
        <v>0</v>
      </c>
      <c r="SU17" s="261">
        <v>0</v>
      </c>
      <c r="SV17" s="261">
        <v>0</v>
      </c>
      <c r="SW17" s="262">
        <v>0</v>
      </c>
      <c r="SX17" s="261">
        <v>0</v>
      </c>
      <c r="SY17" s="261">
        <v>0</v>
      </c>
      <c r="SZ17" s="262">
        <v>0</v>
      </c>
      <c r="TA17" s="261">
        <v>0</v>
      </c>
      <c r="TB17" s="261">
        <v>0</v>
      </c>
      <c r="TC17" s="262">
        <v>0</v>
      </c>
      <c r="TD17" s="261">
        <v>0</v>
      </c>
      <c r="TE17" s="261">
        <v>0</v>
      </c>
      <c r="TF17" s="262">
        <v>0</v>
      </c>
      <c r="TG17" s="261">
        <v>0</v>
      </c>
      <c r="TH17" s="261">
        <v>0</v>
      </c>
      <c r="TI17" s="262">
        <v>0</v>
      </c>
      <c r="TJ17" s="261">
        <v>0</v>
      </c>
      <c r="TK17" s="261">
        <v>0</v>
      </c>
      <c r="TL17" s="262">
        <v>0</v>
      </c>
      <c r="TM17" s="261">
        <v>0</v>
      </c>
      <c r="TN17" s="261">
        <v>0</v>
      </c>
      <c r="TO17" s="262">
        <v>0</v>
      </c>
      <c r="TP17" s="261">
        <v>0</v>
      </c>
      <c r="TQ17" s="261">
        <v>0</v>
      </c>
      <c r="TR17" s="262">
        <v>0</v>
      </c>
      <c r="TS17" s="261">
        <v>0</v>
      </c>
      <c r="TT17" s="261">
        <v>0</v>
      </c>
      <c r="TU17" s="263">
        <v>0</v>
      </c>
      <c r="TV17" s="261">
        <v>622227.96100000001</v>
      </c>
      <c r="TW17" s="261">
        <v>486226.61499999999</v>
      </c>
      <c r="TX17" s="262">
        <v>0.27970773668981502</v>
      </c>
      <c r="TY17" s="261">
        <v>1994390.135</v>
      </c>
      <c r="TZ17" s="261">
        <v>1741464.41</v>
      </c>
      <c r="UA17" s="262">
        <v>0.14523737812132501</v>
      </c>
      <c r="UB17" s="261">
        <v>3934925.247</v>
      </c>
      <c r="UC17" s="261">
        <v>3908855.051</v>
      </c>
      <c r="UD17" s="262">
        <v>6.6695223178793702E-3</v>
      </c>
      <c r="UE17" s="261">
        <v>0</v>
      </c>
      <c r="UF17" s="261">
        <v>0</v>
      </c>
      <c r="UG17" s="262">
        <v>0</v>
      </c>
      <c r="UH17" s="261">
        <v>0</v>
      </c>
      <c r="UI17" s="261">
        <v>0</v>
      </c>
      <c r="UJ17" s="262">
        <v>0</v>
      </c>
      <c r="UK17" s="261">
        <v>0</v>
      </c>
      <c r="UL17" s="261">
        <v>0</v>
      </c>
      <c r="UM17" s="262">
        <v>0</v>
      </c>
      <c r="UN17" s="261">
        <v>0</v>
      </c>
      <c r="UO17" s="261">
        <v>0</v>
      </c>
      <c r="UP17" s="262">
        <v>0</v>
      </c>
      <c r="UQ17" s="261">
        <v>0</v>
      </c>
      <c r="UR17" s="261">
        <v>0</v>
      </c>
      <c r="US17" s="262">
        <v>0</v>
      </c>
      <c r="UT17" s="261">
        <v>0</v>
      </c>
      <c r="UU17" s="261">
        <v>0</v>
      </c>
      <c r="UV17" s="262">
        <v>0</v>
      </c>
      <c r="UW17" s="261">
        <v>0</v>
      </c>
      <c r="UX17" s="261">
        <v>0</v>
      </c>
      <c r="UY17" s="262">
        <v>0</v>
      </c>
      <c r="UZ17" s="261">
        <v>0</v>
      </c>
      <c r="VA17" s="261">
        <v>0</v>
      </c>
      <c r="VB17" s="262">
        <v>0</v>
      </c>
      <c r="VC17" s="261">
        <v>0</v>
      </c>
      <c r="VD17" s="261">
        <v>0</v>
      </c>
      <c r="VE17" s="262">
        <v>0</v>
      </c>
      <c r="VF17" s="261">
        <v>0</v>
      </c>
      <c r="VG17" s="261">
        <v>0</v>
      </c>
      <c r="VH17" s="262">
        <v>0</v>
      </c>
      <c r="VI17" s="261">
        <v>0</v>
      </c>
      <c r="VJ17" s="261">
        <v>0</v>
      </c>
      <c r="VK17" s="262">
        <v>0</v>
      </c>
      <c r="VL17" s="261">
        <v>0</v>
      </c>
      <c r="VM17" s="261">
        <v>0</v>
      </c>
      <c r="VN17" s="263">
        <v>0</v>
      </c>
    </row>
    <row r="18" spans="1:586">
      <c r="A18" s="267" t="s">
        <v>8</v>
      </c>
      <c r="B18" s="261">
        <v>315479.049</v>
      </c>
      <c r="C18" s="261">
        <v>329798.53700000001</v>
      </c>
      <c r="D18" s="262">
        <v>-4.3418894850949602E-2</v>
      </c>
      <c r="E18" s="261">
        <v>1890166.0390000001</v>
      </c>
      <c r="F18" s="261">
        <v>1795377.3959999999</v>
      </c>
      <c r="G18" s="262">
        <v>5.2795943187869003E-2</v>
      </c>
      <c r="H18" s="261">
        <v>3775300.3739999998</v>
      </c>
      <c r="I18" s="261">
        <v>3496643.9589999998</v>
      </c>
      <c r="J18" s="262">
        <v>7.9692533259718298E-2</v>
      </c>
      <c r="K18" s="261">
        <v>0</v>
      </c>
      <c r="L18" s="261">
        <v>0</v>
      </c>
      <c r="M18" s="262">
        <v>0</v>
      </c>
      <c r="N18" s="261">
        <v>0</v>
      </c>
      <c r="O18" s="261">
        <v>0</v>
      </c>
      <c r="P18" s="262">
        <v>0</v>
      </c>
      <c r="Q18" s="261">
        <v>0</v>
      </c>
      <c r="R18" s="261">
        <v>0</v>
      </c>
      <c r="S18" s="262">
        <v>0</v>
      </c>
      <c r="T18" s="261">
        <v>0</v>
      </c>
      <c r="U18" s="261">
        <v>0</v>
      </c>
      <c r="V18" s="262">
        <v>0</v>
      </c>
      <c r="W18" s="261">
        <v>0</v>
      </c>
      <c r="X18" s="261">
        <v>0</v>
      </c>
      <c r="Y18" s="262">
        <v>0</v>
      </c>
      <c r="Z18" s="261">
        <v>0</v>
      </c>
      <c r="AA18" s="261">
        <v>0</v>
      </c>
      <c r="AB18" s="262">
        <v>0</v>
      </c>
      <c r="AC18" s="261">
        <v>253.75800000000001</v>
      </c>
      <c r="AD18" s="261">
        <v>78.099000000000004</v>
      </c>
      <c r="AE18" s="262">
        <v>2.2491837283447902</v>
      </c>
      <c r="AF18" s="261">
        <v>1498.0350000000001</v>
      </c>
      <c r="AG18" s="261">
        <v>318.79000000000002</v>
      </c>
      <c r="AH18" s="262">
        <v>3.69912795257066</v>
      </c>
      <c r="AI18" s="261">
        <v>3187.1480000000001</v>
      </c>
      <c r="AJ18" s="261">
        <v>1072.2260000000001</v>
      </c>
      <c r="AK18" s="262">
        <v>1.97245916439258</v>
      </c>
      <c r="AL18" s="261">
        <v>1280.53</v>
      </c>
      <c r="AM18" s="261">
        <v>497.96199999999999</v>
      </c>
      <c r="AN18" s="262">
        <v>1.57154160357618</v>
      </c>
      <c r="AO18" s="261">
        <v>8023.1530000000002</v>
      </c>
      <c r="AP18" s="261">
        <v>2771.1610000000001</v>
      </c>
      <c r="AQ18" s="262">
        <v>1.89523163756996</v>
      </c>
      <c r="AR18" s="261">
        <v>14496.546</v>
      </c>
      <c r="AS18" s="261">
        <v>5558.8320000000003</v>
      </c>
      <c r="AT18" s="263">
        <v>1.6078402801164</v>
      </c>
      <c r="AU18" s="261">
        <v>351028.67599999998</v>
      </c>
      <c r="AV18" s="261">
        <v>352355.58799999999</v>
      </c>
      <c r="AW18" s="262">
        <v>-3.76583214567912E-3</v>
      </c>
      <c r="AX18" s="261">
        <v>2241194.7149999999</v>
      </c>
      <c r="AY18" s="261">
        <v>2147732.9840000002</v>
      </c>
      <c r="AZ18" s="262">
        <v>4.3516457444320797E-2</v>
      </c>
      <c r="BA18" s="261">
        <v>3773973.4619999998</v>
      </c>
      <c r="BB18" s="261">
        <v>3529547.3909999998</v>
      </c>
      <c r="BC18" s="262">
        <v>6.9251392295585107E-2</v>
      </c>
      <c r="BD18" s="261">
        <v>0</v>
      </c>
      <c r="BE18" s="261">
        <v>0</v>
      </c>
      <c r="BF18" s="262">
        <v>0</v>
      </c>
      <c r="BG18" s="261">
        <v>0</v>
      </c>
      <c r="BH18" s="261">
        <v>0</v>
      </c>
      <c r="BI18" s="262">
        <v>0</v>
      </c>
      <c r="BJ18" s="261">
        <v>0</v>
      </c>
      <c r="BK18" s="261">
        <v>0</v>
      </c>
      <c r="BL18" s="262">
        <v>0</v>
      </c>
      <c r="BM18" s="261">
        <v>0</v>
      </c>
      <c r="BN18" s="261">
        <v>0</v>
      </c>
      <c r="BO18" s="262">
        <v>0</v>
      </c>
      <c r="BP18" s="261">
        <v>0</v>
      </c>
      <c r="BQ18" s="261">
        <v>0</v>
      </c>
      <c r="BR18" s="262">
        <v>0</v>
      </c>
      <c r="BS18" s="261">
        <v>0</v>
      </c>
      <c r="BT18" s="261">
        <v>0</v>
      </c>
      <c r="BU18" s="262">
        <v>0</v>
      </c>
      <c r="BV18" s="261">
        <v>135.33500000000001</v>
      </c>
      <c r="BW18" s="261">
        <v>184.02500000000001</v>
      </c>
      <c r="BX18" s="262">
        <v>-0.26458361635647298</v>
      </c>
      <c r="BY18" s="261">
        <v>1633.37</v>
      </c>
      <c r="BZ18" s="261">
        <v>502.815</v>
      </c>
      <c r="CA18" s="262">
        <v>2.2484512196334601</v>
      </c>
      <c r="CB18" s="261">
        <v>3138.4580000000001</v>
      </c>
      <c r="CC18" s="261">
        <v>1153.963</v>
      </c>
      <c r="CD18" s="262">
        <v>1.7197215162011299</v>
      </c>
      <c r="CE18" s="261">
        <v>1163.9580000000001</v>
      </c>
      <c r="CF18" s="261">
        <v>623.41999999999996</v>
      </c>
      <c r="CG18" s="262">
        <v>0.86705270924898203</v>
      </c>
      <c r="CH18" s="261">
        <v>9187.1110000000008</v>
      </c>
      <c r="CI18" s="261">
        <v>3394.5810000000001</v>
      </c>
      <c r="CJ18" s="262">
        <v>1.7064050025614399</v>
      </c>
      <c r="CK18" s="261">
        <v>15037.084000000001</v>
      </c>
      <c r="CL18" s="261">
        <v>5536.1790000000001</v>
      </c>
      <c r="CM18" s="263">
        <v>1.71614844823478</v>
      </c>
      <c r="CN18" s="261">
        <v>337275.6</v>
      </c>
      <c r="CO18" s="261">
        <v>318107.864</v>
      </c>
      <c r="CP18" s="262">
        <v>6.02554610218628E-2</v>
      </c>
      <c r="CQ18" s="261">
        <v>2578470.3149999999</v>
      </c>
      <c r="CR18" s="261">
        <v>2465840.8480000002</v>
      </c>
      <c r="CS18" s="262">
        <v>4.5675886621535801E-2</v>
      </c>
      <c r="CT18" s="261">
        <v>3793141.1979999999</v>
      </c>
      <c r="CU18" s="261">
        <v>3507759.5580000002</v>
      </c>
      <c r="CV18" s="262">
        <v>8.1357241076898304E-2</v>
      </c>
      <c r="CW18" s="261">
        <v>0</v>
      </c>
      <c r="CX18" s="261">
        <v>0</v>
      </c>
      <c r="CY18" s="262">
        <v>0</v>
      </c>
      <c r="CZ18" s="261">
        <v>0</v>
      </c>
      <c r="DA18" s="261">
        <v>0</v>
      </c>
      <c r="DB18" s="262">
        <v>0</v>
      </c>
      <c r="DC18" s="261">
        <v>0</v>
      </c>
      <c r="DD18" s="261">
        <v>0</v>
      </c>
      <c r="DE18" s="262">
        <v>0</v>
      </c>
      <c r="DF18" s="261">
        <v>0</v>
      </c>
      <c r="DG18" s="261">
        <v>0</v>
      </c>
      <c r="DH18" s="262">
        <v>0</v>
      </c>
      <c r="DI18" s="261">
        <v>0</v>
      </c>
      <c r="DJ18" s="261">
        <v>0</v>
      </c>
      <c r="DK18" s="262">
        <v>0</v>
      </c>
      <c r="DL18" s="261">
        <v>0</v>
      </c>
      <c r="DM18" s="261">
        <v>0</v>
      </c>
      <c r="DN18" s="262">
        <v>0</v>
      </c>
      <c r="DO18" s="261">
        <v>62.7</v>
      </c>
      <c r="DP18" s="261">
        <v>289.92599999999999</v>
      </c>
      <c r="DQ18" s="262">
        <v>-0.78373791933114001</v>
      </c>
      <c r="DR18" s="261">
        <v>1696.07</v>
      </c>
      <c r="DS18" s="261">
        <v>792.74099999999999</v>
      </c>
      <c r="DT18" s="262">
        <v>1.13950079534173</v>
      </c>
      <c r="DU18" s="261">
        <v>2911.232</v>
      </c>
      <c r="DV18" s="261">
        <v>1351.8340000000001</v>
      </c>
      <c r="DW18" s="262">
        <v>1.1535425207532899</v>
      </c>
      <c r="DX18" s="261">
        <v>980.14499999999998</v>
      </c>
      <c r="DY18" s="261">
        <v>1328.914</v>
      </c>
      <c r="DZ18" s="262">
        <v>-0.26244662935299101</v>
      </c>
      <c r="EA18" s="261">
        <v>10167.255999999999</v>
      </c>
      <c r="EB18" s="261">
        <v>4723.4949999999999</v>
      </c>
      <c r="EC18" s="262">
        <v>1.15248581823417</v>
      </c>
      <c r="ED18" s="261">
        <v>14688.315000000001</v>
      </c>
      <c r="EE18" s="261">
        <v>6490.2659999999996</v>
      </c>
      <c r="EF18" s="263">
        <v>1.2631298932894299</v>
      </c>
      <c r="EG18" s="261">
        <v>330895.52799999999</v>
      </c>
      <c r="EH18" s="261">
        <v>293494.87599999999</v>
      </c>
      <c r="EI18" s="262">
        <v>0.12743204416284301</v>
      </c>
      <c r="EJ18" s="261">
        <v>2909365.8429999999</v>
      </c>
      <c r="EK18" s="261">
        <v>2759335.7239999999</v>
      </c>
      <c r="EL18" s="262">
        <v>5.4371824963188299E-2</v>
      </c>
      <c r="EM18" s="261">
        <v>3830541.85</v>
      </c>
      <c r="EN18" s="261">
        <v>3516562.6839999999</v>
      </c>
      <c r="EO18" s="262">
        <v>8.9285815216254602E-2</v>
      </c>
      <c r="EP18" s="261">
        <v>0</v>
      </c>
      <c r="EQ18" s="261">
        <v>0</v>
      </c>
      <c r="ER18" s="262">
        <v>0</v>
      </c>
      <c r="ES18" s="261">
        <v>0</v>
      </c>
      <c r="ET18" s="261">
        <v>0</v>
      </c>
      <c r="EU18" s="262">
        <v>0</v>
      </c>
      <c r="EV18" s="261">
        <v>0</v>
      </c>
      <c r="EW18" s="261">
        <v>0</v>
      </c>
      <c r="EX18" s="262">
        <v>0</v>
      </c>
      <c r="EY18" s="261">
        <v>0</v>
      </c>
      <c r="EZ18" s="261">
        <v>0</v>
      </c>
      <c r="FA18" s="262">
        <v>0</v>
      </c>
      <c r="FB18" s="261">
        <v>0</v>
      </c>
      <c r="FC18" s="261">
        <v>0</v>
      </c>
      <c r="FD18" s="262">
        <v>0</v>
      </c>
      <c r="FE18" s="261">
        <v>0</v>
      </c>
      <c r="FF18" s="261">
        <v>0</v>
      </c>
      <c r="FG18" s="262">
        <v>0</v>
      </c>
      <c r="FH18" s="261">
        <v>163.19</v>
      </c>
      <c r="FI18" s="261">
        <v>364.81299999999999</v>
      </c>
      <c r="FJ18" s="262">
        <v>-0.55267493208849505</v>
      </c>
      <c r="FK18" s="261">
        <v>1859.26</v>
      </c>
      <c r="FL18" s="261">
        <v>1157.5540000000001</v>
      </c>
      <c r="FM18" s="262">
        <v>0.60619720548674205</v>
      </c>
      <c r="FN18" s="261">
        <v>2709.6089999999999</v>
      </c>
      <c r="FO18" s="261">
        <v>1575.366</v>
      </c>
      <c r="FP18" s="262">
        <v>0.71998697445546</v>
      </c>
      <c r="FQ18" s="261">
        <v>360.74599999999998</v>
      </c>
      <c r="FR18" s="261">
        <v>1110.175</v>
      </c>
      <c r="FS18" s="262">
        <v>-0.67505483369739006</v>
      </c>
      <c r="FT18" s="261">
        <v>10528.002</v>
      </c>
      <c r="FU18" s="261">
        <v>5833.67</v>
      </c>
      <c r="FV18" s="262">
        <v>0.80469618610583105</v>
      </c>
      <c r="FW18" s="261">
        <v>13938.886</v>
      </c>
      <c r="FX18" s="261">
        <v>7228.3239999999996</v>
      </c>
      <c r="FY18" s="263">
        <v>0.92837039402218302</v>
      </c>
      <c r="FZ18" s="261">
        <v>323771.46799999999</v>
      </c>
      <c r="GA18" s="261">
        <v>275042.17200000002</v>
      </c>
      <c r="GB18" s="262">
        <v>0.177170270455834</v>
      </c>
      <c r="GC18" s="261">
        <v>3233137.3110000002</v>
      </c>
      <c r="GD18" s="261">
        <v>3034377.8960000002</v>
      </c>
      <c r="GE18" s="262">
        <v>6.5502525332131495E-2</v>
      </c>
      <c r="GF18" s="261">
        <v>3879271.1460000002</v>
      </c>
      <c r="GG18" s="261">
        <v>3528648.5440000002</v>
      </c>
      <c r="GH18" s="262">
        <v>9.9364557741571394E-2</v>
      </c>
      <c r="GI18" s="261">
        <v>0</v>
      </c>
      <c r="GJ18" s="261">
        <v>0</v>
      </c>
      <c r="GK18" s="262">
        <v>0</v>
      </c>
      <c r="GL18" s="261">
        <v>0</v>
      </c>
      <c r="GM18" s="261">
        <v>0</v>
      </c>
      <c r="GN18" s="262">
        <v>0</v>
      </c>
      <c r="GO18" s="261">
        <v>0</v>
      </c>
      <c r="GP18" s="261">
        <v>0</v>
      </c>
      <c r="GQ18" s="262">
        <v>0</v>
      </c>
      <c r="GR18" s="261">
        <v>0</v>
      </c>
      <c r="GS18" s="261">
        <v>0</v>
      </c>
      <c r="GT18" s="262">
        <v>0</v>
      </c>
      <c r="GU18" s="261">
        <v>0</v>
      </c>
      <c r="GV18" s="261">
        <v>0</v>
      </c>
      <c r="GW18" s="262">
        <v>0</v>
      </c>
      <c r="GX18" s="261">
        <v>0</v>
      </c>
      <c r="GY18" s="261">
        <v>0</v>
      </c>
      <c r="GZ18" s="262">
        <v>0</v>
      </c>
      <c r="HA18" s="261">
        <v>723.97699999999998</v>
      </c>
      <c r="HB18" s="261">
        <v>349.95</v>
      </c>
      <c r="HC18" s="262">
        <v>1.0688012573224701</v>
      </c>
      <c r="HD18" s="261">
        <v>2583.2370000000001</v>
      </c>
      <c r="HE18" s="261">
        <v>1507.5039999999999</v>
      </c>
      <c r="HF18" s="262">
        <v>0.71358550292403899</v>
      </c>
      <c r="HG18" s="261">
        <v>3083.636</v>
      </c>
      <c r="HH18" s="261">
        <v>1777.3009999999999</v>
      </c>
      <c r="HI18" s="262">
        <v>0.73501055814406202</v>
      </c>
      <c r="HJ18" s="261">
        <v>773.39200000000005</v>
      </c>
      <c r="HK18" s="261">
        <v>1102.847</v>
      </c>
      <c r="HL18" s="262">
        <v>-0.29873137434295099</v>
      </c>
      <c r="HM18" s="261">
        <v>11301.394</v>
      </c>
      <c r="HN18" s="261">
        <v>6936.5169999999998</v>
      </c>
      <c r="HO18" s="262">
        <v>0.62926062172124697</v>
      </c>
      <c r="HP18" s="261">
        <v>13609.431</v>
      </c>
      <c r="HQ18" s="261">
        <v>7806.4380000000001</v>
      </c>
      <c r="HR18" s="263">
        <v>0.74335990371024496</v>
      </c>
      <c r="HS18" s="261">
        <v>315148.50599999999</v>
      </c>
      <c r="HT18" s="261">
        <v>305056.35200000001</v>
      </c>
      <c r="HU18" s="262">
        <v>3.30829170867422E-2</v>
      </c>
      <c r="HV18" s="261">
        <v>3548285.8169999998</v>
      </c>
      <c r="HW18" s="261">
        <v>3339434.2480000001</v>
      </c>
      <c r="HX18" s="262">
        <v>6.2541003502339501E-2</v>
      </c>
      <c r="HY18" s="261">
        <v>3889363.3</v>
      </c>
      <c r="HZ18" s="261">
        <v>3594388.9890000001</v>
      </c>
      <c r="IA18" s="262">
        <v>8.2065216620326301E-2</v>
      </c>
      <c r="IB18" s="261">
        <v>0</v>
      </c>
      <c r="IC18" s="261">
        <v>0</v>
      </c>
      <c r="ID18" s="262">
        <v>0</v>
      </c>
      <c r="IE18" s="261">
        <v>0</v>
      </c>
      <c r="IF18" s="261">
        <v>0</v>
      </c>
      <c r="IG18" s="262">
        <v>0</v>
      </c>
      <c r="IH18" s="261">
        <v>0</v>
      </c>
      <c r="II18" s="261">
        <v>0</v>
      </c>
      <c r="IJ18" s="262">
        <v>0</v>
      </c>
      <c r="IK18" s="261">
        <v>0</v>
      </c>
      <c r="IL18" s="261">
        <v>0</v>
      </c>
      <c r="IM18" s="262">
        <v>0</v>
      </c>
      <c r="IN18" s="261">
        <v>0</v>
      </c>
      <c r="IO18" s="261">
        <v>0</v>
      </c>
      <c r="IP18" s="262">
        <v>0</v>
      </c>
      <c r="IQ18" s="261">
        <v>0</v>
      </c>
      <c r="IR18" s="261">
        <v>0</v>
      </c>
      <c r="IS18" s="262">
        <v>0</v>
      </c>
      <c r="IT18" s="261">
        <v>1328.557</v>
      </c>
      <c r="IU18" s="261">
        <v>270.39800000000002</v>
      </c>
      <c r="IV18" s="262">
        <v>3.91333885605663</v>
      </c>
      <c r="IW18" s="261">
        <v>3911.7939999999999</v>
      </c>
      <c r="IX18" s="261">
        <v>1777.902</v>
      </c>
      <c r="IY18" s="262">
        <v>1.2002303839019199</v>
      </c>
      <c r="IZ18" s="261">
        <v>4141.7950000000001</v>
      </c>
      <c r="JA18" s="261">
        <v>1904.1590000000001</v>
      </c>
      <c r="JB18" s="262">
        <v>1.17513085829492</v>
      </c>
      <c r="JC18" s="261">
        <v>746.05499999999995</v>
      </c>
      <c r="JD18" s="261">
        <v>1177.5519999999999</v>
      </c>
      <c r="JE18" s="262">
        <v>-0.36643562237591198</v>
      </c>
      <c r="JF18" s="261">
        <v>12047.449000000001</v>
      </c>
      <c r="JG18" s="261">
        <v>8114.0690000000004</v>
      </c>
      <c r="JH18" s="262">
        <v>0.48476048207132599</v>
      </c>
      <c r="JI18" s="261">
        <v>13177.933999999999</v>
      </c>
      <c r="JJ18" s="261">
        <v>8559.4480000000003</v>
      </c>
      <c r="JK18" s="263">
        <v>0.53957755219729098</v>
      </c>
      <c r="JL18" s="261">
        <v>342665.93199999997</v>
      </c>
      <c r="JM18" s="261">
        <v>341077.48300000001</v>
      </c>
      <c r="JN18" s="262">
        <v>4.6571500001365397E-3</v>
      </c>
      <c r="JO18" s="261">
        <v>3890951.7489999998</v>
      </c>
      <c r="JP18" s="261">
        <v>3680511.7310000001</v>
      </c>
      <c r="JQ18" s="262">
        <v>5.7176836641361098E-2</v>
      </c>
      <c r="JR18" s="261">
        <v>3890951.7489999998</v>
      </c>
      <c r="JS18" s="261">
        <v>3680511.7310000001</v>
      </c>
      <c r="JT18" s="262">
        <v>5.7176836641361098E-2</v>
      </c>
      <c r="JU18" s="261">
        <v>0</v>
      </c>
      <c r="JV18" s="261">
        <v>0</v>
      </c>
      <c r="JW18" s="262">
        <v>0</v>
      </c>
      <c r="JX18" s="261">
        <v>0</v>
      </c>
      <c r="JY18" s="261">
        <v>0</v>
      </c>
      <c r="JZ18" s="262">
        <v>0</v>
      </c>
      <c r="KA18" s="261">
        <v>0</v>
      </c>
      <c r="KB18" s="261">
        <v>0</v>
      </c>
      <c r="KC18" s="262">
        <v>0</v>
      </c>
      <c r="KD18" s="261">
        <v>0</v>
      </c>
      <c r="KE18" s="261">
        <v>0</v>
      </c>
      <c r="KF18" s="262">
        <v>0</v>
      </c>
      <c r="KG18" s="261">
        <v>0</v>
      </c>
      <c r="KH18" s="261">
        <v>0</v>
      </c>
      <c r="KI18" s="262">
        <v>0</v>
      </c>
      <c r="KJ18" s="261">
        <v>0</v>
      </c>
      <c r="KK18" s="261">
        <v>0</v>
      </c>
      <c r="KL18" s="262">
        <v>0</v>
      </c>
      <c r="KM18" s="261">
        <v>812.226</v>
      </c>
      <c r="KN18" s="261">
        <v>230.001</v>
      </c>
      <c r="KO18" s="262">
        <v>2.53140203738245</v>
      </c>
      <c r="KP18" s="261">
        <v>4724.0200000000004</v>
      </c>
      <c r="KQ18" s="261">
        <v>2007.903</v>
      </c>
      <c r="KR18" s="262">
        <v>1.35271325357848</v>
      </c>
      <c r="KS18" s="261">
        <v>4724.0200000000004</v>
      </c>
      <c r="KT18" s="261">
        <v>2007.903</v>
      </c>
      <c r="KU18" s="262">
        <v>1.35271325357848</v>
      </c>
      <c r="KV18" s="261">
        <v>798.70500000000004</v>
      </c>
      <c r="KW18" s="261">
        <v>1130.4849999999999</v>
      </c>
      <c r="KX18" s="262">
        <v>-0.29348465481629599</v>
      </c>
      <c r="KY18" s="261">
        <v>12846.154</v>
      </c>
      <c r="KZ18" s="261">
        <v>9244.5540000000001</v>
      </c>
      <c r="LA18" s="262">
        <v>0.389591536811835</v>
      </c>
      <c r="LB18" s="261">
        <v>12846.154</v>
      </c>
      <c r="LC18" s="261">
        <v>9244.5540000000001</v>
      </c>
      <c r="LD18" s="263">
        <v>0.389591536811835</v>
      </c>
      <c r="LE18" s="261">
        <v>318487.42099999997</v>
      </c>
      <c r="LF18" s="261">
        <v>339189.647</v>
      </c>
      <c r="LG18" s="262">
        <v>-6.1034368776002101E-2</v>
      </c>
      <c r="LH18" s="261">
        <v>318487.42099999997</v>
      </c>
      <c r="LI18" s="261">
        <v>339189.647</v>
      </c>
      <c r="LJ18" s="262">
        <v>-6.1034368776002101E-2</v>
      </c>
      <c r="LK18" s="261">
        <v>3870249.523</v>
      </c>
      <c r="LL18" s="261">
        <v>3736782.0329999998</v>
      </c>
      <c r="LM18" s="262">
        <v>3.5717226432083103E-2</v>
      </c>
      <c r="LN18" s="261">
        <v>0</v>
      </c>
      <c r="LO18" s="261">
        <v>0</v>
      </c>
      <c r="LP18" s="262">
        <v>0</v>
      </c>
      <c r="LQ18" s="261">
        <v>0</v>
      </c>
      <c r="LR18" s="261">
        <v>0</v>
      </c>
      <c r="LS18" s="262">
        <v>0</v>
      </c>
      <c r="LT18" s="261">
        <v>0</v>
      </c>
      <c r="LU18" s="261">
        <v>0</v>
      </c>
      <c r="LV18" s="262">
        <v>0</v>
      </c>
      <c r="LW18" s="261">
        <v>0</v>
      </c>
      <c r="LX18" s="261">
        <v>0</v>
      </c>
      <c r="LY18" s="262">
        <v>0</v>
      </c>
      <c r="LZ18" s="261">
        <v>0</v>
      </c>
      <c r="MA18" s="261">
        <v>0</v>
      </c>
      <c r="MB18" s="262">
        <v>0</v>
      </c>
      <c r="MC18" s="261">
        <v>0</v>
      </c>
      <c r="MD18" s="261">
        <v>0</v>
      </c>
      <c r="ME18" s="262">
        <v>0</v>
      </c>
      <c r="MF18" s="261">
        <v>979.93700000000001</v>
      </c>
      <c r="MG18" s="261">
        <v>256.185</v>
      </c>
      <c r="MH18" s="262">
        <v>2.8251146632316502</v>
      </c>
      <c r="MI18" s="261">
        <v>979.93700000000001</v>
      </c>
      <c r="MJ18" s="261">
        <v>256.185</v>
      </c>
      <c r="MK18" s="262">
        <v>2.8251146632316502</v>
      </c>
      <c r="ML18" s="261">
        <v>5447.7719999999999</v>
      </c>
      <c r="MM18" s="261">
        <v>2159.8580000000002</v>
      </c>
      <c r="MN18" s="262">
        <v>1.52228248338548</v>
      </c>
      <c r="MO18" s="261">
        <v>998.24</v>
      </c>
      <c r="MP18" s="261">
        <v>1169.5550000000001</v>
      </c>
      <c r="MQ18" s="262">
        <v>-0.14647878894109301</v>
      </c>
      <c r="MR18" s="261">
        <v>998.24</v>
      </c>
      <c r="MS18" s="261">
        <v>1169.5550000000001</v>
      </c>
      <c r="MT18" s="262">
        <v>-0.14647878894109301</v>
      </c>
      <c r="MU18" s="261">
        <v>12674.839</v>
      </c>
      <c r="MV18" s="261">
        <v>9913.9750000000004</v>
      </c>
      <c r="MW18" s="263">
        <v>0.27848204176427699</v>
      </c>
      <c r="MX18" s="261">
        <v>219331.12100000001</v>
      </c>
      <c r="MY18" s="261">
        <v>328320.114</v>
      </c>
      <c r="MZ18" s="262">
        <v>-0.331959536904888</v>
      </c>
      <c r="NA18" s="261">
        <v>537818.54200000002</v>
      </c>
      <c r="NB18" s="261">
        <v>667509.76100000006</v>
      </c>
      <c r="NC18" s="262">
        <v>-0.19429111988671</v>
      </c>
      <c r="ND18" s="261">
        <v>3761260.53</v>
      </c>
      <c r="NE18" s="261">
        <v>3807164.63</v>
      </c>
      <c r="NF18" s="262">
        <v>-1.2057293146264501E-2</v>
      </c>
      <c r="NG18" s="261">
        <v>0</v>
      </c>
      <c r="NH18" s="261">
        <v>0</v>
      </c>
      <c r="NI18" s="262">
        <v>0</v>
      </c>
      <c r="NJ18" s="261">
        <v>0</v>
      </c>
      <c r="NK18" s="261">
        <v>0</v>
      </c>
      <c r="NL18" s="262">
        <v>0</v>
      </c>
      <c r="NM18" s="261">
        <v>0</v>
      </c>
      <c r="NN18" s="261">
        <v>0</v>
      </c>
      <c r="NO18" s="262">
        <v>0</v>
      </c>
      <c r="NP18" s="261">
        <v>0</v>
      </c>
      <c r="NQ18" s="261">
        <v>0</v>
      </c>
      <c r="NR18" s="262">
        <v>0</v>
      </c>
      <c r="NS18" s="261">
        <v>0</v>
      </c>
      <c r="NT18" s="261">
        <v>0</v>
      </c>
      <c r="NU18" s="262">
        <v>0</v>
      </c>
      <c r="NV18" s="261">
        <v>0</v>
      </c>
      <c r="NW18" s="261">
        <v>0</v>
      </c>
      <c r="NX18" s="262">
        <v>0</v>
      </c>
      <c r="NY18" s="261">
        <v>942.55899999999997</v>
      </c>
      <c r="NZ18" s="261">
        <v>257.28500000000003</v>
      </c>
      <c r="OA18" s="262">
        <v>2.6634821307110799</v>
      </c>
      <c r="OB18" s="261">
        <v>1922.4960000000001</v>
      </c>
      <c r="OC18" s="261">
        <v>513.47</v>
      </c>
      <c r="OD18" s="262">
        <v>2.7441252653514301</v>
      </c>
      <c r="OE18" s="261">
        <v>6133.0460000000003</v>
      </c>
      <c r="OF18" s="261">
        <v>2377.6129999999998</v>
      </c>
      <c r="OG18" s="262">
        <v>1.5794971679579499</v>
      </c>
      <c r="OH18" s="261">
        <v>823.15300000000002</v>
      </c>
      <c r="OI18" s="261">
        <v>1203.2909999999999</v>
      </c>
      <c r="OJ18" s="262">
        <v>-0.315915269041321</v>
      </c>
      <c r="OK18" s="261">
        <v>1821.393</v>
      </c>
      <c r="OL18" s="261">
        <v>2372.846</v>
      </c>
      <c r="OM18" s="262">
        <v>-0.23240151278254001</v>
      </c>
      <c r="ON18" s="261">
        <v>12294.700999999999</v>
      </c>
      <c r="OO18" s="261">
        <v>10617.823</v>
      </c>
      <c r="OP18" s="263">
        <v>0.157930491024384</v>
      </c>
      <c r="OQ18" s="261">
        <v>322976.109</v>
      </c>
      <c r="OR18" s="261">
        <v>286151.84299999999</v>
      </c>
      <c r="OS18" s="262">
        <v>0.12868785192482601</v>
      </c>
      <c r="OT18" s="261">
        <v>860794.65099999995</v>
      </c>
      <c r="OU18" s="261">
        <v>953661.60400000005</v>
      </c>
      <c r="OV18" s="262">
        <v>-9.7379356168354095E-2</v>
      </c>
      <c r="OW18" s="261">
        <v>3798084.7960000001</v>
      </c>
      <c r="OX18" s="261">
        <v>3783678.5630000001</v>
      </c>
      <c r="OY18" s="262">
        <v>3.8074674579589899E-3</v>
      </c>
      <c r="OZ18" s="261">
        <v>0</v>
      </c>
      <c r="PA18" s="261">
        <v>0</v>
      </c>
      <c r="PB18" s="262">
        <v>0</v>
      </c>
      <c r="PC18" s="261">
        <v>0</v>
      </c>
      <c r="PD18" s="261">
        <v>0</v>
      </c>
      <c r="PE18" s="262">
        <v>0</v>
      </c>
      <c r="PF18" s="261">
        <v>0</v>
      </c>
      <c r="PG18" s="261">
        <v>0</v>
      </c>
      <c r="PH18" s="262">
        <v>0</v>
      </c>
      <c r="PI18" s="261">
        <v>0</v>
      </c>
      <c r="PJ18" s="261">
        <v>0</v>
      </c>
      <c r="PK18" s="262">
        <v>0</v>
      </c>
      <c r="PL18" s="261">
        <v>0</v>
      </c>
      <c r="PM18" s="261">
        <v>0</v>
      </c>
      <c r="PN18" s="262">
        <v>0</v>
      </c>
      <c r="PO18" s="261">
        <v>0</v>
      </c>
      <c r="PP18" s="261">
        <v>0</v>
      </c>
      <c r="PQ18" s="262">
        <v>0</v>
      </c>
      <c r="PR18" s="261">
        <v>1366.191</v>
      </c>
      <c r="PS18" s="261">
        <v>271.65699999999998</v>
      </c>
      <c r="PT18" s="262">
        <v>4.0291028760532601</v>
      </c>
      <c r="PU18" s="261">
        <v>3288.6869999999999</v>
      </c>
      <c r="PV18" s="261">
        <v>785.12699999999995</v>
      </c>
      <c r="PW18" s="262">
        <v>3.1887325235280399</v>
      </c>
      <c r="PX18" s="261">
        <v>7227.58</v>
      </c>
      <c r="PY18" s="261">
        <v>2609.268</v>
      </c>
      <c r="PZ18" s="262">
        <v>1.7699646030994101</v>
      </c>
      <c r="QA18" s="261">
        <v>863.23800000000006</v>
      </c>
      <c r="QB18" s="261">
        <v>1447.702</v>
      </c>
      <c r="QC18" s="262">
        <v>-0.40371844481806302</v>
      </c>
      <c r="QD18" s="261">
        <v>2684.6309999999999</v>
      </c>
      <c r="QE18" s="261">
        <v>3820.5479999999998</v>
      </c>
      <c r="QF18" s="262">
        <v>-0.29731781932853601</v>
      </c>
      <c r="QG18" s="261">
        <v>11710.236999999999</v>
      </c>
      <c r="QH18" s="261">
        <v>11487.133</v>
      </c>
      <c r="QI18" s="263">
        <v>1.9422078598724302E-2</v>
      </c>
      <c r="QJ18" s="261">
        <v>284118.90999999997</v>
      </c>
      <c r="QK18" s="261">
        <v>295587.94400000002</v>
      </c>
      <c r="QL18" s="262">
        <v>-3.88007502768788E-2</v>
      </c>
      <c r="QM18" s="261">
        <v>1144913.561</v>
      </c>
      <c r="QN18" s="261">
        <v>1249249.548</v>
      </c>
      <c r="QO18" s="262">
        <v>-8.3518931159140997E-2</v>
      </c>
      <c r="QP18" s="261">
        <v>3786615.7620000001</v>
      </c>
      <c r="QQ18" s="261">
        <v>3775144.267</v>
      </c>
      <c r="QR18" s="262">
        <v>3.03869049463284E-3</v>
      </c>
      <c r="QS18" s="261">
        <v>0</v>
      </c>
      <c r="QT18" s="261">
        <v>0</v>
      </c>
      <c r="QU18" s="262">
        <v>0</v>
      </c>
      <c r="QV18" s="261">
        <v>0</v>
      </c>
      <c r="QW18" s="261">
        <v>0</v>
      </c>
      <c r="QX18" s="262">
        <v>0</v>
      </c>
      <c r="QY18" s="261">
        <v>0</v>
      </c>
      <c r="QZ18" s="261">
        <v>0</v>
      </c>
      <c r="RA18" s="262">
        <v>0</v>
      </c>
      <c r="RB18" s="261">
        <v>0</v>
      </c>
      <c r="RC18" s="261">
        <v>0</v>
      </c>
      <c r="RD18" s="262">
        <v>0</v>
      </c>
      <c r="RE18" s="261">
        <v>0</v>
      </c>
      <c r="RF18" s="261">
        <v>0</v>
      </c>
      <c r="RG18" s="262">
        <v>0</v>
      </c>
      <c r="RH18" s="261">
        <v>0</v>
      </c>
      <c r="RI18" s="261">
        <v>0</v>
      </c>
      <c r="RJ18" s="262">
        <v>0</v>
      </c>
      <c r="RK18" s="261">
        <v>1581.5830000000001</v>
      </c>
      <c r="RL18" s="261">
        <v>216.173</v>
      </c>
      <c r="RM18" s="262">
        <v>6.3162837172079804</v>
      </c>
      <c r="RN18" s="261">
        <v>4870.2700000000004</v>
      </c>
      <c r="RO18" s="261">
        <v>1001.3</v>
      </c>
      <c r="RP18" s="262">
        <v>3.8639468690702099</v>
      </c>
      <c r="RQ18" s="261">
        <v>8592.99</v>
      </c>
      <c r="RR18" s="261">
        <v>2809.8969999999999</v>
      </c>
      <c r="RS18" s="262">
        <v>2.0581156533495699</v>
      </c>
      <c r="RT18" s="261">
        <v>839.65599999999995</v>
      </c>
      <c r="RU18" s="261">
        <v>1466.7380000000001</v>
      </c>
      <c r="RV18" s="262">
        <v>-0.42753511533757199</v>
      </c>
      <c r="RW18" s="261">
        <v>3524.2869999999998</v>
      </c>
      <c r="RX18" s="261">
        <v>5287.2860000000001</v>
      </c>
      <c r="RY18" s="262">
        <v>-0.33344120215929302</v>
      </c>
      <c r="RZ18" s="261">
        <v>11083.155000000001</v>
      </c>
      <c r="SA18" s="261">
        <v>12689.624</v>
      </c>
      <c r="SB18" s="263">
        <v>-0.12659705283623801</v>
      </c>
      <c r="SC18" s="261">
        <v>313422.86099999998</v>
      </c>
      <c r="SD18" s="261">
        <v>325437.44199999998</v>
      </c>
      <c r="SE18" s="262">
        <v>-3.6918250482069599E-2</v>
      </c>
      <c r="SF18" s="261">
        <v>1458336.422</v>
      </c>
      <c r="SG18" s="261">
        <v>1574686.99</v>
      </c>
      <c r="SH18" s="262">
        <v>-7.3888060763110705E-2</v>
      </c>
      <c r="SI18" s="261">
        <v>3774601.1809999999</v>
      </c>
      <c r="SJ18" s="261">
        <v>3789619.8620000002</v>
      </c>
      <c r="SK18" s="262">
        <v>-3.9631101659030497E-3</v>
      </c>
      <c r="SL18" s="261">
        <v>0</v>
      </c>
      <c r="SM18" s="261">
        <v>0</v>
      </c>
      <c r="SN18" s="262">
        <v>0</v>
      </c>
      <c r="SO18" s="261">
        <v>0</v>
      </c>
      <c r="SP18" s="261">
        <v>0</v>
      </c>
      <c r="SQ18" s="262">
        <v>0</v>
      </c>
      <c r="SR18" s="261">
        <v>0</v>
      </c>
      <c r="SS18" s="261">
        <v>0</v>
      </c>
      <c r="ST18" s="262">
        <v>0</v>
      </c>
      <c r="SU18" s="261">
        <v>0</v>
      </c>
      <c r="SV18" s="261">
        <v>0</v>
      </c>
      <c r="SW18" s="262">
        <v>0</v>
      </c>
      <c r="SX18" s="261">
        <v>0</v>
      </c>
      <c r="SY18" s="261">
        <v>0</v>
      </c>
      <c r="SZ18" s="262">
        <v>0</v>
      </c>
      <c r="TA18" s="261">
        <v>0</v>
      </c>
      <c r="TB18" s="261">
        <v>0</v>
      </c>
      <c r="TC18" s="262">
        <v>0</v>
      </c>
      <c r="TD18" s="261">
        <v>1776.7449999999999</v>
      </c>
      <c r="TE18" s="261">
        <v>242.977</v>
      </c>
      <c r="TF18" s="262">
        <v>6.3123999390888796</v>
      </c>
      <c r="TG18" s="261">
        <v>6647.0150000000003</v>
      </c>
      <c r="TH18" s="261">
        <v>1244.277</v>
      </c>
      <c r="TI18" s="262">
        <v>4.3420701339010499</v>
      </c>
      <c r="TJ18" s="261">
        <v>10126.758</v>
      </c>
      <c r="TK18" s="261">
        <v>3011.489</v>
      </c>
      <c r="TL18" s="262">
        <v>2.36270794945623</v>
      </c>
      <c r="TM18" s="261">
        <v>1070.4100000000001</v>
      </c>
      <c r="TN18" s="261">
        <v>1455.337</v>
      </c>
      <c r="TO18" s="262">
        <v>-0.26449337850958199</v>
      </c>
      <c r="TP18" s="261">
        <v>4594.6970000000001</v>
      </c>
      <c r="TQ18" s="261">
        <v>6742.6229999999996</v>
      </c>
      <c r="TR18" s="262">
        <v>-0.31855940929813198</v>
      </c>
      <c r="TS18" s="261">
        <v>10698.227999999999</v>
      </c>
      <c r="TT18" s="261">
        <v>13713.977999999999</v>
      </c>
      <c r="TU18" s="263">
        <v>-0.21990337158189999</v>
      </c>
      <c r="TV18" s="261">
        <v>335469.85200000001</v>
      </c>
      <c r="TW18" s="261">
        <v>315479.049</v>
      </c>
      <c r="TX18" s="262">
        <v>6.3366499497720996E-2</v>
      </c>
      <c r="TY18" s="261">
        <v>1793806.274</v>
      </c>
      <c r="TZ18" s="261">
        <v>1890166.0390000001</v>
      </c>
      <c r="UA18" s="262">
        <v>-5.0979524026883702E-2</v>
      </c>
      <c r="UB18" s="261">
        <v>3794591.9840000002</v>
      </c>
      <c r="UC18" s="261">
        <v>3775300.3739999998</v>
      </c>
      <c r="UD18" s="262">
        <v>5.1099536696096199E-3</v>
      </c>
      <c r="UE18" s="261">
        <v>0</v>
      </c>
      <c r="UF18" s="261">
        <v>0</v>
      </c>
      <c r="UG18" s="262">
        <v>0</v>
      </c>
      <c r="UH18" s="261">
        <v>0</v>
      </c>
      <c r="UI18" s="261">
        <v>0</v>
      </c>
      <c r="UJ18" s="262">
        <v>0</v>
      </c>
      <c r="UK18" s="261">
        <v>0</v>
      </c>
      <c r="UL18" s="261">
        <v>0</v>
      </c>
      <c r="UM18" s="262">
        <v>0</v>
      </c>
      <c r="UN18" s="261">
        <v>0</v>
      </c>
      <c r="UO18" s="261">
        <v>0</v>
      </c>
      <c r="UP18" s="262">
        <v>0</v>
      </c>
      <c r="UQ18" s="261">
        <v>0</v>
      </c>
      <c r="UR18" s="261">
        <v>0</v>
      </c>
      <c r="US18" s="262">
        <v>0</v>
      </c>
      <c r="UT18" s="261">
        <v>0</v>
      </c>
      <c r="UU18" s="261">
        <v>0</v>
      </c>
      <c r="UV18" s="262">
        <v>0</v>
      </c>
      <c r="UW18" s="261">
        <v>1947.5360000000001</v>
      </c>
      <c r="UX18" s="261">
        <v>253.75800000000001</v>
      </c>
      <c r="UY18" s="262">
        <v>6.6747767558067101</v>
      </c>
      <c r="UZ18" s="261">
        <v>8594.5509999999995</v>
      </c>
      <c r="VA18" s="261">
        <v>1498.0350000000001</v>
      </c>
      <c r="VB18" s="262">
        <v>4.7372164201771003</v>
      </c>
      <c r="VC18" s="261">
        <v>11820.536</v>
      </c>
      <c r="VD18" s="261">
        <v>3187.1480000000001</v>
      </c>
      <c r="VE18" s="262">
        <v>2.7088130202927498</v>
      </c>
      <c r="VF18" s="261">
        <v>926.42399999999998</v>
      </c>
      <c r="VG18" s="261">
        <v>1280.53</v>
      </c>
      <c r="VH18" s="262">
        <v>-0.27653081146087999</v>
      </c>
      <c r="VI18" s="261">
        <v>5521.1210000000001</v>
      </c>
      <c r="VJ18" s="261">
        <v>8023.1530000000002</v>
      </c>
      <c r="VK18" s="262">
        <v>-0.311851462884978</v>
      </c>
      <c r="VL18" s="261">
        <v>10344.121999999999</v>
      </c>
      <c r="VM18" s="261">
        <v>14496.546</v>
      </c>
      <c r="VN18" s="263">
        <v>-0.28644230149719802</v>
      </c>
    </row>
    <row r="19" spans="1:586">
      <c r="A19" s="267" t="s">
        <v>9</v>
      </c>
      <c r="B19" s="261">
        <v>1373614.71</v>
      </c>
      <c r="C19" s="261">
        <v>1441042.9339999999</v>
      </c>
      <c r="D19" s="262">
        <v>-4.6791266525859201E-2</v>
      </c>
      <c r="E19" s="261">
        <v>7648975.2640000004</v>
      </c>
      <c r="F19" s="261">
        <v>7910266.8810000001</v>
      </c>
      <c r="G19" s="262">
        <v>-3.3031959721562303E-2</v>
      </c>
      <c r="H19" s="261">
        <v>16119988.345000001</v>
      </c>
      <c r="I19" s="261">
        <v>15546855.966</v>
      </c>
      <c r="J19" s="262">
        <v>3.6864841370718597E-2</v>
      </c>
      <c r="K19" s="261">
        <v>0</v>
      </c>
      <c r="L19" s="261">
        <v>0</v>
      </c>
      <c r="M19" s="262">
        <v>0</v>
      </c>
      <c r="N19" s="261">
        <v>0</v>
      </c>
      <c r="O19" s="261">
        <v>0</v>
      </c>
      <c r="P19" s="262">
        <v>0</v>
      </c>
      <c r="Q19" s="261">
        <v>0</v>
      </c>
      <c r="R19" s="261">
        <v>0</v>
      </c>
      <c r="S19" s="262">
        <v>0</v>
      </c>
      <c r="T19" s="261">
        <v>0</v>
      </c>
      <c r="U19" s="261">
        <v>0</v>
      </c>
      <c r="V19" s="262">
        <v>0</v>
      </c>
      <c r="W19" s="261">
        <v>0</v>
      </c>
      <c r="X19" s="261">
        <v>0</v>
      </c>
      <c r="Y19" s="262">
        <v>0</v>
      </c>
      <c r="Z19" s="261">
        <v>0</v>
      </c>
      <c r="AA19" s="261">
        <v>0</v>
      </c>
      <c r="AB19" s="262">
        <v>0</v>
      </c>
      <c r="AC19" s="261">
        <v>4120.8810000000003</v>
      </c>
      <c r="AD19" s="261">
        <v>3460.9560000000001</v>
      </c>
      <c r="AE19" s="262">
        <v>0.19067708459743499</v>
      </c>
      <c r="AF19" s="261">
        <v>19398.990000000002</v>
      </c>
      <c r="AG19" s="261">
        <v>20072.144</v>
      </c>
      <c r="AH19" s="262">
        <v>-3.3536726320815703E-2</v>
      </c>
      <c r="AI19" s="261">
        <v>36010.851000000002</v>
      </c>
      <c r="AJ19" s="261">
        <v>36695.716</v>
      </c>
      <c r="AK19" s="262">
        <v>-1.8663350239575799E-2</v>
      </c>
      <c r="AL19" s="261">
        <v>0</v>
      </c>
      <c r="AM19" s="261">
        <v>0</v>
      </c>
      <c r="AN19" s="262">
        <v>0</v>
      </c>
      <c r="AO19" s="261">
        <v>0</v>
      </c>
      <c r="AP19" s="261">
        <v>0</v>
      </c>
      <c r="AQ19" s="262">
        <v>0</v>
      </c>
      <c r="AR19" s="261">
        <v>0</v>
      </c>
      <c r="AS19" s="261">
        <v>0</v>
      </c>
      <c r="AT19" s="263">
        <v>0</v>
      </c>
      <c r="AU19" s="261">
        <v>1307633.5190000001</v>
      </c>
      <c r="AV19" s="261">
        <v>1476158.2150000001</v>
      </c>
      <c r="AW19" s="262">
        <v>-0.11416438582770801</v>
      </c>
      <c r="AX19" s="261">
        <v>8956608.7829999998</v>
      </c>
      <c r="AY19" s="261">
        <v>9386425.0960000008</v>
      </c>
      <c r="AZ19" s="262">
        <v>-4.5791268625066398E-2</v>
      </c>
      <c r="BA19" s="261">
        <v>15951463.649</v>
      </c>
      <c r="BB19" s="261">
        <v>15550252.682</v>
      </c>
      <c r="BC19" s="262">
        <v>2.5800929104156298E-2</v>
      </c>
      <c r="BD19" s="261">
        <v>0</v>
      </c>
      <c r="BE19" s="261">
        <v>0</v>
      </c>
      <c r="BF19" s="262">
        <v>0</v>
      </c>
      <c r="BG19" s="261">
        <v>0</v>
      </c>
      <c r="BH19" s="261">
        <v>0</v>
      </c>
      <c r="BI19" s="262">
        <v>0</v>
      </c>
      <c r="BJ19" s="261">
        <v>0</v>
      </c>
      <c r="BK19" s="261">
        <v>0</v>
      </c>
      <c r="BL19" s="262">
        <v>0</v>
      </c>
      <c r="BM19" s="261">
        <v>0</v>
      </c>
      <c r="BN19" s="261">
        <v>0</v>
      </c>
      <c r="BO19" s="262">
        <v>0</v>
      </c>
      <c r="BP19" s="261">
        <v>0</v>
      </c>
      <c r="BQ19" s="261">
        <v>0</v>
      </c>
      <c r="BR19" s="262">
        <v>0</v>
      </c>
      <c r="BS19" s="261">
        <v>0</v>
      </c>
      <c r="BT19" s="261">
        <v>0</v>
      </c>
      <c r="BU19" s="262">
        <v>0</v>
      </c>
      <c r="BV19" s="261">
        <v>3573.1179999999999</v>
      </c>
      <c r="BW19" s="261">
        <v>3277.4670000000001</v>
      </c>
      <c r="BX19" s="262">
        <v>9.0207163031694806E-2</v>
      </c>
      <c r="BY19" s="261">
        <v>22972.108</v>
      </c>
      <c r="BZ19" s="261">
        <v>23349.611000000001</v>
      </c>
      <c r="CA19" s="262">
        <v>-1.6167421375885001E-2</v>
      </c>
      <c r="CB19" s="261">
        <v>36306.502</v>
      </c>
      <c r="CC19" s="261">
        <v>36793.629999999997</v>
      </c>
      <c r="CD19" s="262">
        <v>-1.3239465635763699E-2</v>
      </c>
      <c r="CE19" s="261">
        <v>0</v>
      </c>
      <c r="CF19" s="261">
        <v>0</v>
      </c>
      <c r="CG19" s="262">
        <v>0</v>
      </c>
      <c r="CH19" s="261">
        <v>0</v>
      </c>
      <c r="CI19" s="261">
        <v>0</v>
      </c>
      <c r="CJ19" s="262">
        <v>0</v>
      </c>
      <c r="CK19" s="261">
        <v>0</v>
      </c>
      <c r="CL19" s="261">
        <v>0</v>
      </c>
      <c r="CM19" s="263">
        <v>0</v>
      </c>
      <c r="CN19" s="261">
        <v>1234795.4110000001</v>
      </c>
      <c r="CO19" s="261">
        <v>1402103.4469999999</v>
      </c>
      <c r="CP19" s="262">
        <v>-0.119326456516443</v>
      </c>
      <c r="CQ19" s="261">
        <v>10191404.194</v>
      </c>
      <c r="CR19" s="261">
        <v>10788528.543</v>
      </c>
      <c r="CS19" s="262">
        <v>-5.5348080752628301E-2</v>
      </c>
      <c r="CT19" s="261">
        <v>15784155.613</v>
      </c>
      <c r="CU19" s="261">
        <v>15666426.938999999</v>
      </c>
      <c r="CV19" s="262">
        <v>7.5147112011180297E-3</v>
      </c>
      <c r="CW19" s="261">
        <v>0</v>
      </c>
      <c r="CX19" s="261">
        <v>0</v>
      </c>
      <c r="CY19" s="262">
        <v>0</v>
      </c>
      <c r="CZ19" s="261">
        <v>0</v>
      </c>
      <c r="DA19" s="261">
        <v>0</v>
      </c>
      <c r="DB19" s="262">
        <v>0</v>
      </c>
      <c r="DC19" s="261">
        <v>0</v>
      </c>
      <c r="DD19" s="261">
        <v>0</v>
      </c>
      <c r="DE19" s="262">
        <v>0</v>
      </c>
      <c r="DF19" s="261">
        <v>0</v>
      </c>
      <c r="DG19" s="261">
        <v>0</v>
      </c>
      <c r="DH19" s="262">
        <v>0</v>
      </c>
      <c r="DI19" s="261">
        <v>0</v>
      </c>
      <c r="DJ19" s="261">
        <v>0</v>
      </c>
      <c r="DK19" s="262">
        <v>0</v>
      </c>
      <c r="DL19" s="261">
        <v>0</v>
      </c>
      <c r="DM19" s="261">
        <v>0</v>
      </c>
      <c r="DN19" s="262">
        <v>0</v>
      </c>
      <c r="DO19" s="261">
        <v>3165.9009999999998</v>
      </c>
      <c r="DP19" s="261">
        <v>3124.3510000000001</v>
      </c>
      <c r="DQ19" s="262">
        <v>1.3298761886868699E-2</v>
      </c>
      <c r="DR19" s="261">
        <v>26138.008999999998</v>
      </c>
      <c r="DS19" s="261">
        <v>26473.962</v>
      </c>
      <c r="DT19" s="262">
        <v>-1.26899404025737E-2</v>
      </c>
      <c r="DU19" s="261">
        <v>36348.052000000003</v>
      </c>
      <c r="DV19" s="261">
        <v>36243.35</v>
      </c>
      <c r="DW19" s="262">
        <v>2.8888609910506999E-3</v>
      </c>
      <c r="DX19" s="261">
        <v>0</v>
      </c>
      <c r="DY19" s="261">
        <v>0</v>
      </c>
      <c r="DZ19" s="262">
        <v>0</v>
      </c>
      <c r="EA19" s="261">
        <v>0</v>
      </c>
      <c r="EB19" s="261">
        <v>0</v>
      </c>
      <c r="EC19" s="262">
        <v>0</v>
      </c>
      <c r="ED19" s="261">
        <v>0</v>
      </c>
      <c r="EE19" s="261">
        <v>0</v>
      </c>
      <c r="EF19" s="263">
        <v>0</v>
      </c>
      <c r="EG19" s="261">
        <v>1270127.7890000001</v>
      </c>
      <c r="EH19" s="261">
        <v>1311498.2080000001</v>
      </c>
      <c r="EI19" s="262">
        <v>-3.1544396132335201E-2</v>
      </c>
      <c r="EJ19" s="261">
        <v>11461531.982999999</v>
      </c>
      <c r="EK19" s="261">
        <v>12100026.751</v>
      </c>
      <c r="EL19" s="262">
        <v>-5.2768045983636602E-2</v>
      </c>
      <c r="EM19" s="261">
        <v>15742785.194</v>
      </c>
      <c r="EN19" s="261">
        <v>15535452.886</v>
      </c>
      <c r="EO19" s="262">
        <v>1.3345752423274401E-2</v>
      </c>
      <c r="EP19" s="261">
        <v>0</v>
      </c>
      <c r="EQ19" s="261">
        <v>0</v>
      </c>
      <c r="ER19" s="262">
        <v>0</v>
      </c>
      <c r="ES19" s="261">
        <v>0</v>
      </c>
      <c r="ET19" s="261">
        <v>0</v>
      </c>
      <c r="EU19" s="262">
        <v>0</v>
      </c>
      <c r="EV19" s="261">
        <v>0</v>
      </c>
      <c r="EW19" s="261">
        <v>0</v>
      </c>
      <c r="EX19" s="262">
        <v>0</v>
      </c>
      <c r="EY19" s="261">
        <v>0</v>
      </c>
      <c r="EZ19" s="261">
        <v>0</v>
      </c>
      <c r="FA19" s="262">
        <v>0</v>
      </c>
      <c r="FB19" s="261">
        <v>0</v>
      </c>
      <c r="FC19" s="261">
        <v>0</v>
      </c>
      <c r="FD19" s="262">
        <v>0</v>
      </c>
      <c r="FE19" s="261">
        <v>0</v>
      </c>
      <c r="FF19" s="261">
        <v>0</v>
      </c>
      <c r="FG19" s="262">
        <v>0</v>
      </c>
      <c r="FH19" s="261">
        <v>2336.1950000000002</v>
      </c>
      <c r="FI19" s="261">
        <v>2778.902</v>
      </c>
      <c r="FJ19" s="262">
        <v>-0.159310044038977</v>
      </c>
      <c r="FK19" s="261">
        <v>28474.204000000002</v>
      </c>
      <c r="FL19" s="261">
        <v>29252.864000000001</v>
      </c>
      <c r="FM19" s="262">
        <v>-2.6618248387576801E-2</v>
      </c>
      <c r="FN19" s="261">
        <v>35905.345000000001</v>
      </c>
      <c r="FO19" s="261">
        <v>36027.010999999999</v>
      </c>
      <c r="FP19" s="262">
        <v>-3.3770772712728601E-3</v>
      </c>
      <c r="FQ19" s="261">
        <v>0</v>
      </c>
      <c r="FR19" s="261">
        <v>0</v>
      </c>
      <c r="FS19" s="262">
        <v>0</v>
      </c>
      <c r="FT19" s="261">
        <v>0</v>
      </c>
      <c r="FU19" s="261">
        <v>0</v>
      </c>
      <c r="FV19" s="262">
        <v>0</v>
      </c>
      <c r="FW19" s="261">
        <v>0</v>
      </c>
      <c r="FX19" s="261">
        <v>0</v>
      </c>
      <c r="FY19" s="263">
        <v>0</v>
      </c>
      <c r="FZ19" s="261">
        <v>1374888.531</v>
      </c>
      <c r="GA19" s="261">
        <v>1229674.6200000001</v>
      </c>
      <c r="GB19" s="262">
        <v>0.118091329721028</v>
      </c>
      <c r="GC19" s="261">
        <v>12836420.514</v>
      </c>
      <c r="GD19" s="261">
        <v>13329701.370999999</v>
      </c>
      <c r="GE19" s="262">
        <v>-3.7006144644258797E-2</v>
      </c>
      <c r="GF19" s="261">
        <v>15887999.105</v>
      </c>
      <c r="GG19" s="261">
        <v>15497604.273</v>
      </c>
      <c r="GH19" s="262">
        <v>2.5190656899153601E-2</v>
      </c>
      <c r="GI19" s="261">
        <v>0</v>
      </c>
      <c r="GJ19" s="261">
        <v>0</v>
      </c>
      <c r="GK19" s="262">
        <v>0</v>
      </c>
      <c r="GL19" s="261">
        <v>0</v>
      </c>
      <c r="GM19" s="261">
        <v>0</v>
      </c>
      <c r="GN19" s="262">
        <v>0</v>
      </c>
      <c r="GO19" s="261">
        <v>0</v>
      </c>
      <c r="GP19" s="261">
        <v>0</v>
      </c>
      <c r="GQ19" s="262">
        <v>0</v>
      </c>
      <c r="GR19" s="261">
        <v>0</v>
      </c>
      <c r="GS19" s="261">
        <v>0</v>
      </c>
      <c r="GT19" s="262">
        <v>0</v>
      </c>
      <c r="GU19" s="261">
        <v>0</v>
      </c>
      <c r="GV19" s="261">
        <v>0</v>
      </c>
      <c r="GW19" s="262">
        <v>0</v>
      </c>
      <c r="GX19" s="261">
        <v>0</v>
      </c>
      <c r="GY19" s="261">
        <v>0</v>
      </c>
      <c r="GZ19" s="262">
        <v>0</v>
      </c>
      <c r="HA19" s="261">
        <v>3028.4079999999999</v>
      </c>
      <c r="HB19" s="261">
        <v>2285.203</v>
      </c>
      <c r="HC19" s="262">
        <v>0.32522493625292798</v>
      </c>
      <c r="HD19" s="261">
        <v>31502.612000000001</v>
      </c>
      <c r="HE19" s="261">
        <v>31538.066999999999</v>
      </c>
      <c r="HF19" s="262">
        <v>-1.1241969902594799E-3</v>
      </c>
      <c r="HG19" s="261">
        <v>36648.550000000003</v>
      </c>
      <c r="HH19" s="261">
        <v>36691.144999999997</v>
      </c>
      <c r="HI19" s="262">
        <v>-1.1609068073509599E-3</v>
      </c>
      <c r="HJ19" s="261">
        <v>0</v>
      </c>
      <c r="HK19" s="261">
        <v>0</v>
      </c>
      <c r="HL19" s="262">
        <v>0</v>
      </c>
      <c r="HM19" s="261">
        <v>0</v>
      </c>
      <c r="HN19" s="261">
        <v>0</v>
      </c>
      <c r="HO19" s="262">
        <v>0</v>
      </c>
      <c r="HP19" s="261">
        <v>0</v>
      </c>
      <c r="HQ19" s="261">
        <v>0</v>
      </c>
      <c r="HR19" s="263">
        <v>0</v>
      </c>
      <c r="HS19" s="261">
        <v>1228366.7339999999</v>
      </c>
      <c r="HT19" s="261">
        <v>1544741.0090000001</v>
      </c>
      <c r="HU19" s="262">
        <v>-0.20480732573080801</v>
      </c>
      <c r="HV19" s="261">
        <v>14064787.248</v>
      </c>
      <c r="HW19" s="261">
        <v>14874442.380000001</v>
      </c>
      <c r="HX19" s="262">
        <v>-5.4432637628732398E-2</v>
      </c>
      <c r="HY19" s="261">
        <v>15571624.83</v>
      </c>
      <c r="HZ19" s="261">
        <v>16046382.899</v>
      </c>
      <c r="IA19" s="262">
        <v>-2.9586609766715E-2</v>
      </c>
      <c r="IB19" s="261">
        <v>0</v>
      </c>
      <c r="IC19" s="261">
        <v>0</v>
      </c>
      <c r="ID19" s="262">
        <v>0</v>
      </c>
      <c r="IE19" s="261">
        <v>0</v>
      </c>
      <c r="IF19" s="261">
        <v>0</v>
      </c>
      <c r="IG19" s="262">
        <v>0</v>
      </c>
      <c r="IH19" s="261">
        <v>0</v>
      </c>
      <c r="II19" s="261">
        <v>0</v>
      </c>
      <c r="IJ19" s="262">
        <v>0</v>
      </c>
      <c r="IK19" s="261">
        <v>0</v>
      </c>
      <c r="IL19" s="261">
        <v>0</v>
      </c>
      <c r="IM19" s="262">
        <v>0</v>
      </c>
      <c r="IN19" s="261">
        <v>0</v>
      </c>
      <c r="IO19" s="261">
        <v>0</v>
      </c>
      <c r="IP19" s="262">
        <v>0</v>
      </c>
      <c r="IQ19" s="261">
        <v>0</v>
      </c>
      <c r="IR19" s="261">
        <v>0</v>
      </c>
      <c r="IS19" s="262">
        <v>0</v>
      </c>
      <c r="IT19" s="261">
        <v>2522.0250000000001</v>
      </c>
      <c r="IU19" s="261">
        <v>1879.075</v>
      </c>
      <c r="IV19" s="262">
        <v>0.34216303234304102</v>
      </c>
      <c r="IW19" s="261">
        <v>34024.637000000002</v>
      </c>
      <c r="IX19" s="261">
        <v>33417.142</v>
      </c>
      <c r="IY19" s="262">
        <v>1.8179142908151799E-2</v>
      </c>
      <c r="IZ19" s="261">
        <v>37291.5</v>
      </c>
      <c r="JA19" s="261">
        <v>36573.667000000001</v>
      </c>
      <c r="JB19" s="262">
        <v>1.9627044780606701E-2</v>
      </c>
      <c r="JC19" s="261">
        <v>0</v>
      </c>
      <c r="JD19" s="261">
        <v>0</v>
      </c>
      <c r="JE19" s="262">
        <v>0</v>
      </c>
      <c r="JF19" s="261">
        <v>0</v>
      </c>
      <c r="JG19" s="261">
        <v>0</v>
      </c>
      <c r="JH19" s="262">
        <v>0</v>
      </c>
      <c r="JI19" s="261">
        <v>0</v>
      </c>
      <c r="JJ19" s="261">
        <v>0</v>
      </c>
      <c r="JK19" s="263">
        <v>0</v>
      </c>
      <c r="JL19" s="261">
        <v>1409844.1259999999</v>
      </c>
      <c r="JM19" s="261">
        <v>1506837.5819999999</v>
      </c>
      <c r="JN19" s="262">
        <v>-6.4368885644106394E-2</v>
      </c>
      <c r="JO19" s="261">
        <v>15474631.374</v>
      </c>
      <c r="JP19" s="261">
        <v>16381279.961999999</v>
      </c>
      <c r="JQ19" s="262">
        <v>-5.5346626765623297E-2</v>
      </c>
      <c r="JR19" s="261">
        <v>15474631.374</v>
      </c>
      <c r="JS19" s="261">
        <v>16381279.961999999</v>
      </c>
      <c r="JT19" s="262">
        <v>-5.5346626765623297E-2</v>
      </c>
      <c r="JU19" s="261">
        <v>0</v>
      </c>
      <c r="JV19" s="261">
        <v>0</v>
      </c>
      <c r="JW19" s="262">
        <v>0</v>
      </c>
      <c r="JX19" s="261">
        <v>0</v>
      </c>
      <c r="JY19" s="261">
        <v>0</v>
      </c>
      <c r="JZ19" s="262">
        <v>0</v>
      </c>
      <c r="KA19" s="261">
        <v>0</v>
      </c>
      <c r="KB19" s="261">
        <v>0</v>
      </c>
      <c r="KC19" s="262">
        <v>0</v>
      </c>
      <c r="KD19" s="261">
        <v>0</v>
      </c>
      <c r="KE19" s="261">
        <v>0</v>
      </c>
      <c r="KF19" s="262">
        <v>0</v>
      </c>
      <c r="KG19" s="261">
        <v>0</v>
      </c>
      <c r="KH19" s="261">
        <v>0</v>
      </c>
      <c r="KI19" s="262">
        <v>0</v>
      </c>
      <c r="KJ19" s="261">
        <v>0</v>
      </c>
      <c r="KK19" s="261">
        <v>0</v>
      </c>
      <c r="KL19" s="262">
        <v>0</v>
      </c>
      <c r="KM19" s="261">
        <v>3791.9229999999998</v>
      </c>
      <c r="KN19" s="261">
        <v>3266.8629999999998</v>
      </c>
      <c r="KO19" s="262">
        <v>0.160722993281322</v>
      </c>
      <c r="KP19" s="261">
        <v>37816.559999999998</v>
      </c>
      <c r="KQ19" s="261">
        <v>36684.004999999997</v>
      </c>
      <c r="KR19" s="262">
        <v>3.0873264792107401E-2</v>
      </c>
      <c r="KS19" s="261">
        <v>37816.559999999998</v>
      </c>
      <c r="KT19" s="261">
        <v>36684.004999999997</v>
      </c>
      <c r="KU19" s="262">
        <v>3.0873264792107401E-2</v>
      </c>
      <c r="KV19" s="261">
        <v>0</v>
      </c>
      <c r="KW19" s="261">
        <v>0</v>
      </c>
      <c r="KX19" s="262">
        <v>0</v>
      </c>
      <c r="KY19" s="261">
        <v>0</v>
      </c>
      <c r="KZ19" s="261">
        <v>0</v>
      </c>
      <c r="LA19" s="262">
        <v>0</v>
      </c>
      <c r="LB19" s="261">
        <v>0</v>
      </c>
      <c r="LC19" s="261">
        <v>0</v>
      </c>
      <c r="LD19" s="263">
        <v>0</v>
      </c>
      <c r="LE19" s="261">
        <v>1255912.588</v>
      </c>
      <c r="LF19" s="261">
        <v>1429463.129</v>
      </c>
      <c r="LG19" s="262">
        <v>-0.121409596007845</v>
      </c>
      <c r="LH19" s="261">
        <v>1255912.588</v>
      </c>
      <c r="LI19" s="261">
        <v>1429463.129</v>
      </c>
      <c r="LJ19" s="262">
        <v>-0.121409596007845</v>
      </c>
      <c r="LK19" s="261">
        <v>15301080.833000001</v>
      </c>
      <c r="LL19" s="261">
        <v>16114262.551000001</v>
      </c>
      <c r="LM19" s="262">
        <v>-5.0463477023932397E-2</v>
      </c>
      <c r="LN19" s="261">
        <v>0</v>
      </c>
      <c r="LO19" s="261">
        <v>0</v>
      </c>
      <c r="LP19" s="262">
        <v>0</v>
      </c>
      <c r="LQ19" s="261">
        <v>0</v>
      </c>
      <c r="LR19" s="261">
        <v>0</v>
      </c>
      <c r="LS19" s="262">
        <v>0</v>
      </c>
      <c r="LT19" s="261">
        <v>0</v>
      </c>
      <c r="LU19" s="261">
        <v>0</v>
      </c>
      <c r="LV19" s="262">
        <v>0</v>
      </c>
      <c r="LW19" s="261">
        <v>0</v>
      </c>
      <c r="LX19" s="261">
        <v>0</v>
      </c>
      <c r="LY19" s="262">
        <v>0</v>
      </c>
      <c r="LZ19" s="261">
        <v>0</v>
      </c>
      <c r="MA19" s="261">
        <v>0</v>
      </c>
      <c r="MB19" s="262">
        <v>0</v>
      </c>
      <c r="MC19" s="261">
        <v>0</v>
      </c>
      <c r="MD19" s="261">
        <v>0</v>
      </c>
      <c r="ME19" s="262">
        <v>0</v>
      </c>
      <c r="MF19" s="261">
        <v>3425.1860000000001</v>
      </c>
      <c r="MG19" s="261">
        <v>3686.3090000000002</v>
      </c>
      <c r="MH19" s="262">
        <v>-7.0835895742869207E-2</v>
      </c>
      <c r="MI19" s="261">
        <v>3425.1860000000001</v>
      </c>
      <c r="MJ19" s="261">
        <v>3686.3090000000002</v>
      </c>
      <c r="MK19" s="262">
        <v>-7.0835895742869207E-2</v>
      </c>
      <c r="ML19" s="261">
        <v>37555.436999999998</v>
      </c>
      <c r="MM19" s="261">
        <v>36433.296000000002</v>
      </c>
      <c r="MN19" s="262">
        <v>3.0799876025490398E-2</v>
      </c>
      <c r="MO19" s="261">
        <v>0</v>
      </c>
      <c r="MP19" s="261">
        <v>0</v>
      </c>
      <c r="MQ19" s="262">
        <v>0</v>
      </c>
      <c r="MR19" s="261">
        <v>0</v>
      </c>
      <c r="MS19" s="261">
        <v>0</v>
      </c>
      <c r="MT19" s="262">
        <v>0</v>
      </c>
      <c r="MU19" s="261">
        <v>0</v>
      </c>
      <c r="MV19" s="261">
        <v>0</v>
      </c>
      <c r="MW19" s="263">
        <v>0</v>
      </c>
      <c r="MX19" s="261">
        <v>602606.75199999998</v>
      </c>
      <c r="MY19" s="261">
        <v>1374988.6880000001</v>
      </c>
      <c r="MZ19" s="262">
        <v>-0.56173693844963501</v>
      </c>
      <c r="NA19" s="261">
        <v>1858519.34</v>
      </c>
      <c r="NB19" s="261">
        <v>2804451.8169999998</v>
      </c>
      <c r="NC19" s="262">
        <v>-0.33729674771588403</v>
      </c>
      <c r="ND19" s="261">
        <v>14528698.897</v>
      </c>
      <c r="NE19" s="261">
        <v>16119718.537</v>
      </c>
      <c r="NF19" s="262">
        <v>-9.8700212187209896E-2</v>
      </c>
      <c r="NG19" s="261">
        <v>0</v>
      </c>
      <c r="NH19" s="261">
        <v>0</v>
      </c>
      <c r="NI19" s="262">
        <v>0</v>
      </c>
      <c r="NJ19" s="261">
        <v>0</v>
      </c>
      <c r="NK19" s="261">
        <v>0</v>
      </c>
      <c r="NL19" s="262">
        <v>0</v>
      </c>
      <c r="NM19" s="261">
        <v>0</v>
      </c>
      <c r="NN19" s="261">
        <v>0</v>
      </c>
      <c r="NO19" s="262">
        <v>0</v>
      </c>
      <c r="NP19" s="261">
        <v>0</v>
      </c>
      <c r="NQ19" s="261">
        <v>0</v>
      </c>
      <c r="NR19" s="262">
        <v>0</v>
      </c>
      <c r="NS19" s="261">
        <v>0</v>
      </c>
      <c r="NT19" s="261">
        <v>0</v>
      </c>
      <c r="NU19" s="262">
        <v>0</v>
      </c>
      <c r="NV19" s="261">
        <v>0</v>
      </c>
      <c r="NW19" s="261">
        <v>0</v>
      </c>
      <c r="NX19" s="262">
        <v>0</v>
      </c>
      <c r="NY19" s="261">
        <v>1377.5309999999999</v>
      </c>
      <c r="NZ19" s="261">
        <v>3272.4650000000001</v>
      </c>
      <c r="OA19" s="262">
        <v>-0.57905401585654903</v>
      </c>
      <c r="OB19" s="261">
        <v>4802.7169999999996</v>
      </c>
      <c r="OC19" s="261">
        <v>6958.7740000000003</v>
      </c>
      <c r="OD19" s="262">
        <v>-0.30983288148170901</v>
      </c>
      <c r="OE19" s="261">
        <v>35660.502999999997</v>
      </c>
      <c r="OF19" s="261">
        <v>35966.012000000002</v>
      </c>
      <c r="OG19" s="262">
        <v>-8.4943807503596903E-3</v>
      </c>
      <c r="OH19" s="261">
        <v>0</v>
      </c>
      <c r="OI19" s="261">
        <v>0</v>
      </c>
      <c r="OJ19" s="262">
        <v>0</v>
      </c>
      <c r="OK19" s="261">
        <v>0</v>
      </c>
      <c r="OL19" s="261">
        <v>0</v>
      </c>
      <c r="OM19" s="262">
        <v>0</v>
      </c>
      <c r="ON19" s="261">
        <v>0</v>
      </c>
      <c r="OO19" s="261">
        <v>0</v>
      </c>
      <c r="OP19" s="263">
        <v>0</v>
      </c>
      <c r="OQ19" s="261">
        <v>624582.41899999999</v>
      </c>
      <c r="OR19" s="261">
        <v>1155725.7490000001</v>
      </c>
      <c r="OS19" s="262">
        <v>-0.45957557877340299</v>
      </c>
      <c r="OT19" s="261">
        <v>2483101.7590000001</v>
      </c>
      <c r="OU19" s="261">
        <v>3960177.5660000001</v>
      </c>
      <c r="OV19" s="262">
        <v>-0.37298221667669501</v>
      </c>
      <c r="OW19" s="261">
        <v>13997555.567</v>
      </c>
      <c r="OX19" s="261">
        <v>16104537.352</v>
      </c>
      <c r="OY19" s="262">
        <v>-0.130831562493681</v>
      </c>
      <c r="OZ19" s="261">
        <v>0</v>
      </c>
      <c r="PA19" s="261">
        <v>0</v>
      </c>
      <c r="PB19" s="262">
        <v>0</v>
      </c>
      <c r="PC19" s="261">
        <v>0</v>
      </c>
      <c r="PD19" s="261">
        <v>0</v>
      </c>
      <c r="PE19" s="262">
        <v>0</v>
      </c>
      <c r="PF19" s="261">
        <v>0</v>
      </c>
      <c r="PG19" s="261">
        <v>0</v>
      </c>
      <c r="PH19" s="262">
        <v>0</v>
      </c>
      <c r="PI19" s="261">
        <v>0</v>
      </c>
      <c r="PJ19" s="261">
        <v>0</v>
      </c>
      <c r="PK19" s="262">
        <v>0</v>
      </c>
      <c r="PL19" s="261">
        <v>0</v>
      </c>
      <c r="PM19" s="261">
        <v>0</v>
      </c>
      <c r="PN19" s="262">
        <v>0</v>
      </c>
      <c r="PO19" s="261">
        <v>0</v>
      </c>
      <c r="PP19" s="261">
        <v>0</v>
      </c>
      <c r="PQ19" s="262">
        <v>0</v>
      </c>
      <c r="PR19" s="261">
        <v>987.16600000000005</v>
      </c>
      <c r="PS19" s="261">
        <v>2608.7359999999999</v>
      </c>
      <c r="PT19" s="262">
        <v>-0.62159221937367404</v>
      </c>
      <c r="PU19" s="261">
        <v>5789.8829999999998</v>
      </c>
      <c r="PV19" s="261">
        <v>9567.51</v>
      </c>
      <c r="PW19" s="262">
        <v>-0.39483909606574802</v>
      </c>
      <c r="PX19" s="261">
        <v>34038.932999999997</v>
      </c>
      <c r="PY19" s="261">
        <v>35089.629999999997</v>
      </c>
      <c r="PZ19" s="262">
        <v>-2.99432339411955E-2</v>
      </c>
      <c r="QA19" s="261">
        <v>0</v>
      </c>
      <c r="QB19" s="261">
        <v>0</v>
      </c>
      <c r="QC19" s="262">
        <v>0</v>
      </c>
      <c r="QD19" s="261">
        <v>0</v>
      </c>
      <c r="QE19" s="261">
        <v>0</v>
      </c>
      <c r="QF19" s="262">
        <v>0</v>
      </c>
      <c r="QG19" s="261">
        <v>0</v>
      </c>
      <c r="QH19" s="261">
        <v>0</v>
      </c>
      <c r="QI19" s="263">
        <v>0</v>
      </c>
      <c r="QJ19" s="261">
        <v>916701.74</v>
      </c>
      <c r="QK19" s="261">
        <v>1138054.226</v>
      </c>
      <c r="QL19" s="262">
        <v>-0.194500825130278</v>
      </c>
      <c r="QM19" s="261">
        <v>3399803.4989999998</v>
      </c>
      <c r="QN19" s="261">
        <v>5098231.7920000004</v>
      </c>
      <c r="QO19" s="262">
        <v>-0.333140657838493</v>
      </c>
      <c r="QP19" s="261">
        <v>13776203.081</v>
      </c>
      <c r="QQ19" s="261">
        <v>16336626.889</v>
      </c>
      <c r="QR19" s="262">
        <v>-0.15672903748104899</v>
      </c>
      <c r="QS19" s="261">
        <v>0</v>
      </c>
      <c r="QT19" s="261">
        <v>0</v>
      </c>
      <c r="QU19" s="262">
        <v>0</v>
      </c>
      <c r="QV19" s="261">
        <v>0</v>
      </c>
      <c r="QW19" s="261">
        <v>0</v>
      </c>
      <c r="QX19" s="262">
        <v>0</v>
      </c>
      <c r="QY19" s="261">
        <v>0</v>
      </c>
      <c r="QZ19" s="261">
        <v>0</v>
      </c>
      <c r="RA19" s="262">
        <v>0</v>
      </c>
      <c r="RB19" s="261">
        <v>0</v>
      </c>
      <c r="RC19" s="261">
        <v>0</v>
      </c>
      <c r="RD19" s="262">
        <v>0</v>
      </c>
      <c r="RE19" s="261">
        <v>0</v>
      </c>
      <c r="RF19" s="261">
        <v>0</v>
      </c>
      <c r="RG19" s="262">
        <v>0</v>
      </c>
      <c r="RH19" s="261">
        <v>0</v>
      </c>
      <c r="RI19" s="261">
        <v>0</v>
      </c>
      <c r="RJ19" s="262">
        <v>0</v>
      </c>
      <c r="RK19" s="261">
        <v>2626.27</v>
      </c>
      <c r="RL19" s="261">
        <v>2443.7060000000001</v>
      </c>
      <c r="RM19" s="262">
        <v>7.4707841286963297E-2</v>
      </c>
      <c r="RN19" s="261">
        <v>8416.1530000000002</v>
      </c>
      <c r="RO19" s="261">
        <v>12011.216</v>
      </c>
      <c r="RP19" s="262">
        <v>-0.29930882934750302</v>
      </c>
      <c r="RQ19" s="261">
        <v>34221.497000000003</v>
      </c>
      <c r="RR19" s="261">
        <v>35623.794999999998</v>
      </c>
      <c r="RS19" s="262">
        <v>-3.9364082350013402E-2</v>
      </c>
      <c r="RT19" s="261">
        <v>0</v>
      </c>
      <c r="RU19" s="261">
        <v>0</v>
      </c>
      <c r="RV19" s="262">
        <v>0</v>
      </c>
      <c r="RW19" s="261">
        <v>0</v>
      </c>
      <c r="RX19" s="261">
        <v>0</v>
      </c>
      <c r="RY19" s="262">
        <v>0</v>
      </c>
      <c r="RZ19" s="261">
        <v>0</v>
      </c>
      <c r="SA19" s="261">
        <v>0</v>
      </c>
      <c r="SB19" s="263">
        <v>0</v>
      </c>
      <c r="SC19" s="261">
        <v>1118815.2649999999</v>
      </c>
      <c r="SD19" s="261">
        <v>1177128.7620000001</v>
      </c>
      <c r="SE19" s="262">
        <v>-4.9538758105716903E-2</v>
      </c>
      <c r="SF19" s="261">
        <v>4518618.7640000004</v>
      </c>
      <c r="SG19" s="261">
        <v>6275360.5539999995</v>
      </c>
      <c r="SH19" s="262">
        <v>-0.27994276581928501</v>
      </c>
      <c r="SI19" s="261">
        <v>13717889.584000001</v>
      </c>
      <c r="SJ19" s="261">
        <v>16187416.569</v>
      </c>
      <c r="SK19" s="262">
        <v>-0.15255843787509099</v>
      </c>
      <c r="SL19" s="261">
        <v>0</v>
      </c>
      <c r="SM19" s="261">
        <v>0</v>
      </c>
      <c r="SN19" s="262">
        <v>0</v>
      </c>
      <c r="SO19" s="261">
        <v>0</v>
      </c>
      <c r="SP19" s="261">
        <v>0</v>
      </c>
      <c r="SQ19" s="262">
        <v>0</v>
      </c>
      <c r="SR19" s="261">
        <v>0</v>
      </c>
      <c r="SS19" s="261">
        <v>0</v>
      </c>
      <c r="ST19" s="262">
        <v>0</v>
      </c>
      <c r="SU19" s="261">
        <v>0</v>
      </c>
      <c r="SV19" s="261">
        <v>0</v>
      </c>
      <c r="SW19" s="262">
        <v>0</v>
      </c>
      <c r="SX19" s="261">
        <v>0</v>
      </c>
      <c r="SY19" s="261">
        <v>0</v>
      </c>
      <c r="SZ19" s="262">
        <v>0</v>
      </c>
      <c r="TA19" s="261">
        <v>0</v>
      </c>
      <c r="TB19" s="261">
        <v>0</v>
      </c>
      <c r="TC19" s="262">
        <v>0</v>
      </c>
      <c r="TD19" s="261">
        <v>2726.223</v>
      </c>
      <c r="TE19" s="261">
        <v>3266.893</v>
      </c>
      <c r="TF19" s="262">
        <v>-0.165499757720868</v>
      </c>
      <c r="TG19" s="261">
        <v>11142.376</v>
      </c>
      <c r="TH19" s="261">
        <v>15278.109</v>
      </c>
      <c r="TI19" s="262">
        <v>-0.27069665493288497</v>
      </c>
      <c r="TJ19" s="261">
        <v>33680.826999999997</v>
      </c>
      <c r="TK19" s="261">
        <v>35350.925999999999</v>
      </c>
      <c r="TL19" s="262">
        <v>-4.7243430058946698E-2</v>
      </c>
      <c r="TM19" s="261">
        <v>0</v>
      </c>
      <c r="TN19" s="261">
        <v>0</v>
      </c>
      <c r="TO19" s="262">
        <v>0</v>
      </c>
      <c r="TP19" s="261">
        <v>0</v>
      </c>
      <c r="TQ19" s="261">
        <v>0</v>
      </c>
      <c r="TR19" s="262">
        <v>0</v>
      </c>
      <c r="TS19" s="261">
        <v>0</v>
      </c>
      <c r="TT19" s="261">
        <v>0</v>
      </c>
      <c r="TU19" s="263">
        <v>0</v>
      </c>
      <c r="TV19" s="261">
        <v>1131777.7339999999</v>
      </c>
      <c r="TW19" s="261">
        <v>1373614.71</v>
      </c>
      <c r="TX19" s="262">
        <v>-0.17605881346451199</v>
      </c>
      <c r="TY19" s="261">
        <v>5650396.4979999997</v>
      </c>
      <c r="TZ19" s="261">
        <v>7648975.2640000004</v>
      </c>
      <c r="UA19" s="262">
        <v>-0.261287126316951</v>
      </c>
      <c r="UB19" s="261">
        <v>13476052.607999999</v>
      </c>
      <c r="UC19" s="261">
        <v>16119988.345000001</v>
      </c>
      <c r="UD19" s="262">
        <v>-0.16401598316416199</v>
      </c>
      <c r="UE19" s="261">
        <v>0</v>
      </c>
      <c r="UF19" s="261">
        <v>0</v>
      </c>
      <c r="UG19" s="262">
        <v>0</v>
      </c>
      <c r="UH19" s="261">
        <v>0</v>
      </c>
      <c r="UI19" s="261">
        <v>0</v>
      </c>
      <c r="UJ19" s="262">
        <v>0</v>
      </c>
      <c r="UK19" s="261">
        <v>0</v>
      </c>
      <c r="UL19" s="261">
        <v>0</v>
      </c>
      <c r="UM19" s="262">
        <v>0</v>
      </c>
      <c r="UN19" s="261">
        <v>0</v>
      </c>
      <c r="UO19" s="261">
        <v>0</v>
      </c>
      <c r="UP19" s="262">
        <v>0</v>
      </c>
      <c r="UQ19" s="261">
        <v>0</v>
      </c>
      <c r="UR19" s="261">
        <v>0</v>
      </c>
      <c r="US19" s="262">
        <v>0</v>
      </c>
      <c r="UT19" s="261">
        <v>0</v>
      </c>
      <c r="UU19" s="261">
        <v>0</v>
      </c>
      <c r="UV19" s="262">
        <v>0</v>
      </c>
      <c r="UW19" s="261">
        <v>3092.1350000000002</v>
      </c>
      <c r="UX19" s="261">
        <v>4120.8810000000003</v>
      </c>
      <c r="UY19" s="262">
        <v>-0.24964224882980099</v>
      </c>
      <c r="UZ19" s="261">
        <v>14234.511</v>
      </c>
      <c r="VA19" s="261">
        <v>19398.990000000002</v>
      </c>
      <c r="VB19" s="262">
        <v>-0.26622411785355798</v>
      </c>
      <c r="VC19" s="261">
        <v>32652.080999999998</v>
      </c>
      <c r="VD19" s="261">
        <v>36010.851000000002</v>
      </c>
      <c r="VE19" s="262">
        <v>-9.3271053216709393E-2</v>
      </c>
      <c r="VF19" s="261">
        <v>0</v>
      </c>
      <c r="VG19" s="261">
        <v>0</v>
      </c>
      <c r="VH19" s="262">
        <v>0</v>
      </c>
      <c r="VI19" s="261">
        <v>0</v>
      </c>
      <c r="VJ19" s="261">
        <v>0</v>
      </c>
      <c r="VK19" s="262">
        <v>0</v>
      </c>
      <c r="VL19" s="261">
        <v>0</v>
      </c>
      <c r="VM19" s="261">
        <v>0</v>
      </c>
      <c r="VN19" s="263">
        <v>0</v>
      </c>
    </row>
    <row r="20" spans="1:586">
      <c r="A20" s="267" t="s">
        <v>66</v>
      </c>
      <c r="B20" s="261">
        <v>23718.671999999999</v>
      </c>
      <c r="C20" s="261">
        <v>53415.584499999997</v>
      </c>
      <c r="D20" s="262">
        <v>-0.55595970310874299</v>
      </c>
      <c r="E20" s="261">
        <v>251860.345</v>
      </c>
      <c r="F20" s="261">
        <v>280122.71250000002</v>
      </c>
      <c r="G20" s="262">
        <v>-0.100892809611074</v>
      </c>
      <c r="H20" s="261">
        <v>625325.79650000005</v>
      </c>
      <c r="I20" s="261">
        <v>658944.66899999999</v>
      </c>
      <c r="J20" s="262">
        <v>-5.1019264714621898E-2</v>
      </c>
      <c r="K20" s="261">
        <v>0</v>
      </c>
      <c r="L20" s="261">
        <v>0</v>
      </c>
      <c r="M20" s="262">
        <v>0</v>
      </c>
      <c r="N20" s="261">
        <v>0</v>
      </c>
      <c r="O20" s="261">
        <v>0</v>
      </c>
      <c r="P20" s="262">
        <v>0</v>
      </c>
      <c r="Q20" s="261">
        <v>0</v>
      </c>
      <c r="R20" s="261">
        <v>0</v>
      </c>
      <c r="S20" s="262">
        <v>0</v>
      </c>
      <c r="T20" s="261">
        <v>496.51600000000002</v>
      </c>
      <c r="U20" s="261">
        <v>479.77949999999998</v>
      </c>
      <c r="V20" s="262">
        <v>3.4883733048202401E-2</v>
      </c>
      <c r="W20" s="261">
        <v>3345.5839999999998</v>
      </c>
      <c r="X20" s="261">
        <v>2997.0255000000002</v>
      </c>
      <c r="Y20" s="262">
        <v>0.116301479583674</v>
      </c>
      <c r="Z20" s="261">
        <v>6037.9610000000002</v>
      </c>
      <c r="AA20" s="261">
        <v>5612.893</v>
      </c>
      <c r="AB20" s="262">
        <v>7.5730643716172802E-2</v>
      </c>
      <c r="AC20" s="261">
        <v>14345.347</v>
      </c>
      <c r="AD20" s="261">
        <v>16584.269499999999</v>
      </c>
      <c r="AE20" s="262">
        <v>-0.13500278079779099</v>
      </c>
      <c r="AF20" s="261">
        <v>66735.159</v>
      </c>
      <c r="AG20" s="261">
        <v>69105.740999999995</v>
      </c>
      <c r="AH20" s="262">
        <v>-3.4303691208520497E-2</v>
      </c>
      <c r="AI20" s="261">
        <v>143253.315</v>
      </c>
      <c r="AJ20" s="261">
        <v>136927.565</v>
      </c>
      <c r="AK20" s="262">
        <v>4.6197783477709503E-2</v>
      </c>
      <c r="AL20" s="261">
        <v>0</v>
      </c>
      <c r="AM20" s="261">
        <v>0</v>
      </c>
      <c r="AN20" s="262">
        <v>0</v>
      </c>
      <c r="AO20" s="261">
        <v>0</v>
      </c>
      <c r="AP20" s="261">
        <v>0</v>
      </c>
      <c r="AQ20" s="262">
        <v>0</v>
      </c>
      <c r="AR20" s="261">
        <v>0</v>
      </c>
      <c r="AS20" s="261">
        <v>0</v>
      </c>
      <c r="AT20" s="263">
        <v>0</v>
      </c>
      <c r="AU20" s="261">
        <v>52036.873</v>
      </c>
      <c r="AV20" s="261">
        <v>62396.6495</v>
      </c>
      <c r="AW20" s="262">
        <v>-0.166030974147097</v>
      </c>
      <c r="AX20" s="261">
        <v>303897.21799999999</v>
      </c>
      <c r="AY20" s="261">
        <v>342519.36200000002</v>
      </c>
      <c r="AZ20" s="262">
        <v>-0.112759009518417</v>
      </c>
      <c r="BA20" s="261">
        <v>614966.02</v>
      </c>
      <c r="BB20" s="261">
        <v>650784.69350000005</v>
      </c>
      <c r="BC20" s="262">
        <v>-5.5039207064571202E-2</v>
      </c>
      <c r="BD20" s="261">
        <v>0</v>
      </c>
      <c r="BE20" s="261">
        <v>0</v>
      </c>
      <c r="BF20" s="262">
        <v>0</v>
      </c>
      <c r="BG20" s="261">
        <v>0</v>
      </c>
      <c r="BH20" s="261">
        <v>0</v>
      </c>
      <c r="BI20" s="262">
        <v>0</v>
      </c>
      <c r="BJ20" s="261">
        <v>0</v>
      </c>
      <c r="BK20" s="261">
        <v>0</v>
      </c>
      <c r="BL20" s="262">
        <v>0</v>
      </c>
      <c r="BM20" s="261">
        <v>430.61149999999998</v>
      </c>
      <c r="BN20" s="261">
        <v>573.66099999999994</v>
      </c>
      <c r="BO20" s="262">
        <v>-0.24936242833311001</v>
      </c>
      <c r="BP20" s="261">
        <v>3776.1954999999998</v>
      </c>
      <c r="BQ20" s="261">
        <v>3570.6864999999998</v>
      </c>
      <c r="BR20" s="262">
        <v>5.7554478669578003E-2</v>
      </c>
      <c r="BS20" s="261">
        <v>5894.9115000000002</v>
      </c>
      <c r="BT20" s="261">
        <v>5762.96</v>
      </c>
      <c r="BU20" s="262">
        <v>2.2896480280966702E-2</v>
      </c>
      <c r="BV20" s="261">
        <v>13980.217500000001</v>
      </c>
      <c r="BW20" s="261">
        <v>15726.691000000001</v>
      </c>
      <c r="BX20" s="262">
        <v>-0.11105155560060299</v>
      </c>
      <c r="BY20" s="261">
        <v>80715.376499999998</v>
      </c>
      <c r="BZ20" s="261">
        <v>84832.432000000001</v>
      </c>
      <c r="CA20" s="262">
        <v>-4.85316217269358E-2</v>
      </c>
      <c r="CB20" s="261">
        <v>141506.84150000001</v>
      </c>
      <c r="CC20" s="261">
        <v>140113.06</v>
      </c>
      <c r="CD20" s="262">
        <v>9.9475487866727899E-3</v>
      </c>
      <c r="CE20" s="261">
        <v>0</v>
      </c>
      <c r="CF20" s="261">
        <v>0</v>
      </c>
      <c r="CG20" s="262">
        <v>0</v>
      </c>
      <c r="CH20" s="261">
        <v>0</v>
      </c>
      <c r="CI20" s="261">
        <v>0</v>
      </c>
      <c r="CJ20" s="262">
        <v>0</v>
      </c>
      <c r="CK20" s="261">
        <v>0</v>
      </c>
      <c r="CL20" s="261">
        <v>0</v>
      </c>
      <c r="CM20" s="263">
        <v>0</v>
      </c>
      <c r="CN20" s="261">
        <v>59049.389499999997</v>
      </c>
      <c r="CO20" s="261">
        <v>62179.3</v>
      </c>
      <c r="CP20" s="262">
        <v>-5.0336856477959803E-2</v>
      </c>
      <c r="CQ20" s="261">
        <v>362946.60749999998</v>
      </c>
      <c r="CR20" s="261">
        <v>404698.66200000001</v>
      </c>
      <c r="CS20" s="262">
        <v>-0.10316825435909199</v>
      </c>
      <c r="CT20" s="261">
        <v>611836.10950000002</v>
      </c>
      <c r="CU20" s="261">
        <v>650857.43350000004</v>
      </c>
      <c r="CV20" s="262">
        <v>-5.9953719496083802E-2</v>
      </c>
      <c r="CW20" s="261">
        <v>0</v>
      </c>
      <c r="CX20" s="261">
        <v>0</v>
      </c>
      <c r="CY20" s="262">
        <v>0</v>
      </c>
      <c r="CZ20" s="261">
        <v>0</v>
      </c>
      <c r="DA20" s="261">
        <v>0</v>
      </c>
      <c r="DB20" s="262">
        <v>0</v>
      </c>
      <c r="DC20" s="261">
        <v>0</v>
      </c>
      <c r="DD20" s="261">
        <v>0</v>
      </c>
      <c r="DE20" s="262">
        <v>0</v>
      </c>
      <c r="DF20" s="261">
        <v>569.72400000000005</v>
      </c>
      <c r="DG20" s="261">
        <v>493.64699999999999</v>
      </c>
      <c r="DH20" s="262">
        <v>0.15411214896474601</v>
      </c>
      <c r="DI20" s="261">
        <v>4345.9195</v>
      </c>
      <c r="DJ20" s="261">
        <v>4064.3335000000002</v>
      </c>
      <c r="DK20" s="262">
        <v>6.9282208263667294E-2</v>
      </c>
      <c r="DL20" s="261">
        <v>5970.9885000000004</v>
      </c>
      <c r="DM20" s="261">
        <v>5730.5045</v>
      </c>
      <c r="DN20" s="262">
        <v>4.1965589591631998E-2</v>
      </c>
      <c r="DO20" s="261">
        <v>11851.319</v>
      </c>
      <c r="DP20" s="261">
        <v>15578.734</v>
      </c>
      <c r="DQ20" s="262">
        <v>-0.23926302355505899</v>
      </c>
      <c r="DR20" s="261">
        <v>92566.695500000002</v>
      </c>
      <c r="DS20" s="261">
        <v>100411.166</v>
      </c>
      <c r="DT20" s="262">
        <v>-7.8123487780233494E-2</v>
      </c>
      <c r="DU20" s="261">
        <v>137779.4265</v>
      </c>
      <c r="DV20" s="261">
        <v>141008.68</v>
      </c>
      <c r="DW20" s="262">
        <v>-2.2901097294152298E-2</v>
      </c>
      <c r="DX20" s="261">
        <v>0</v>
      </c>
      <c r="DY20" s="261">
        <v>0</v>
      </c>
      <c r="DZ20" s="262">
        <v>0</v>
      </c>
      <c r="EA20" s="261">
        <v>0</v>
      </c>
      <c r="EB20" s="261">
        <v>0</v>
      </c>
      <c r="EC20" s="262">
        <v>0</v>
      </c>
      <c r="ED20" s="261">
        <v>0</v>
      </c>
      <c r="EE20" s="261">
        <v>0</v>
      </c>
      <c r="EF20" s="263">
        <v>0</v>
      </c>
      <c r="EG20" s="261">
        <v>45211.659</v>
      </c>
      <c r="EH20" s="261">
        <v>59692.804499999998</v>
      </c>
      <c r="EI20" s="262">
        <v>-0.24259449059727101</v>
      </c>
      <c r="EJ20" s="261">
        <v>408158.26650000003</v>
      </c>
      <c r="EK20" s="261">
        <v>464391.46649999998</v>
      </c>
      <c r="EL20" s="262">
        <v>-0.121090080366496</v>
      </c>
      <c r="EM20" s="261">
        <v>597354.96400000004</v>
      </c>
      <c r="EN20" s="261">
        <v>647266.52150000003</v>
      </c>
      <c r="EO20" s="262">
        <v>-7.7111291627339304E-2</v>
      </c>
      <c r="EP20" s="261">
        <v>0</v>
      </c>
      <c r="EQ20" s="261">
        <v>0</v>
      </c>
      <c r="ER20" s="262">
        <v>0</v>
      </c>
      <c r="ES20" s="261">
        <v>0</v>
      </c>
      <c r="ET20" s="261">
        <v>0</v>
      </c>
      <c r="EU20" s="262">
        <v>0</v>
      </c>
      <c r="EV20" s="261">
        <v>0</v>
      </c>
      <c r="EW20" s="261">
        <v>0</v>
      </c>
      <c r="EX20" s="262">
        <v>0</v>
      </c>
      <c r="EY20" s="261">
        <v>343.99549999999999</v>
      </c>
      <c r="EZ20" s="261">
        <v>467.26499999999999</v>
      </c>
      <c r="FA20" s="262">
        <v>-0.26381068558526699</v>
      </c>
      <c r="FB20" s="261">
        <v>4689.915</v>
      </c>
      <c r="FC20" s="261">
        <v>4531.5985000000001</v>
      </c>
      <c r="FD20" s="262">
        <v>3.4936126843540902E-2</v>
      </c>
      <c r="FE20" s="261">
        <v>5847.7190000000001</v>
      </c>
      <c r="FF20" s="261">
        <v>5766.3905000000004</v>
      </c>
      <c r="FG20" s="262">
        <v>1.41038835299135E-2</v>
      </c>
      <c r="FH20" s="261">
        <v>13929.98</v>
      </c>
      <c r="FI20" s="261">
        <v>14196.128500000001</v>
      </c>
      <c r="FJ20" s="262">
        <v>-1.8747963573308098E-2</v>
      </c>
      <c r="FK20" s="261">
        <v>106496.6755</v>
      </c>
      <c r="FL20" s="261">
        <v>114607.2945</v>
      </c>
      <c r="FM20" s="262">
        <v>-7.0768785140460699E-2</v>
      </c>
      <c r="FN20" s="261">
        <v>137513.27799999999</v>
      </c>
      <c r="FO20" s="261">
        <v>145270.726</v>
      </c>
      <c r="FP20" s="262">
        <v>-5.3399939640970798E-2</v>
      </c>
      <c r="FQ20" s="261">
        <v>0</v>
      </c>
      <c r="FR20" s="261">
        <v>0</v>
      </c>
      <c r="FS20" s="262">
        <v>0</v>
      </c>
      <c r="FT20" s="261">
        <v>0</v>
      </c>
      <c r="FU20" s="261">
        <v>0</v>
      </c>
      <c r="FV20" s="262">
        <v>0</v>
      </c>
      <c r="FW20" s="261">
        <v>0</v>
      </c>
      <c r="FX20" s="261">
        <v>0</v>
      </c>
      <c r="FY20" s="263">
        <v>0</v>
      </c>
      <c r="FZ20" s="261">
        <v>49534.434999999998</v>
      </c>
      <c r="GA20" s="261">
        <v>56188.989000000001</v>
      </c>
      <c r="GB20" s="262">
        <v>-0.118431637913969</v>
      </c>
      <c r="GC20" s="261">
        <v>457692.70150000002</v>
      </c>
      <c r="GD20" s="261">
        <v>520580.45549999998</v>
      </c>
      <c r="GE20" s="262">
        <v>-0.120803140678031</v>
      </c>
      <c r="GF20" s="261">
        <v>590700.41</v>
      </c>
      <c r="GG20" s="261">
        <v>638071.85649999999</v>
      </c>
      <c r="GH20" s="262">
        <v>-7.4241554485486E-2</v>
      </c>
      <c r="GI20" s="261">
        <v>0</v>
      </c>
      <c r="GJ20" s="261">
        <v>0</v>
      </c>
      <c r="GK20" s="262">
        <v>0</v>
      </c>
      <c r="GL20" s="261">
        <v>0</v>
      </c>
      <c r="GM20" s="261">
        <v>0</v>
      </c>
      <c r="GN20" s="262">
        <v>0</v>
      </c>
      <c r="GO20" s="261">
        <v>0</v>
      </c>
      <c r="GP20" s="261">
        <v>0</v>
      </c>
      <c r="GQ20" s="262">
        <v>0</v>
      </c>
      <c r="GR20" s="261">
        <v>534.90650000000005</v>
      </c>
      <c r="GS20" s="261">
        <v>529.25599999999997</v>
      </c>
      <c r="GT20" s="262">
        <v>1.06763078736945E-2</v>
      </c>
      <c r="GU20" s="261">
        <v>5224.8215</v>
      </c>
      <c r="GV20" s="261">
        <v>5060.8545000000004</v>
      </c>
      <c r="GW20" s="262">
        <v>3.2399074108927603E-2</v>
      </c>
      <c r="GX20" s="261">
        <v>5853.3694999999998</v>
      </c>
      <c r="GY20" s="261">
        <v>6015.643</v>
      </c>
      <c r="GZ20" s="262">
        <v>-2.6975254349368798E-2</v>
      </c>
      <c r="HA20" s="261">
        <v>8082.9</v>
      </c>
      <c r="HB20" s="261">
        <v>9242.7219999999998</v>
      </c>
      <c r="HC20" s="262">
        <v>-0.12548489503416899</v>
      </c>
      <c r="HD20" s="261">
        <v>114579.57550000001</v>
      </c>
      <c r="HE20" s="261">
        <v>123850.0165</v>
      </c>
      <c r="HF20" s="262">
        <v>-7.4852157972865402E-2</v>
      </c>
      <c r="HG20" s="261">
        <v>136353.45600000001</v>
      </c>
      <c r="HH20" s="261">
        <v>143652.046</v>
      </c>
      <c r="HI20" s="262">
        <v>-5.0807421148738798E-2</v>
      </c>
      <c r="HJ20" s="261">
        <v>0</v>
      </c>
      <c r="HK20" s="261">
        <v>0</v>
      </c>
      <c r="HL20" s="262">
        <v>0</v>
      </c>
      <c r="HM20" s="261">
        <v>0</v>
      </c>
      <c r="HN20" s="261">
        <v>0</v>
      </c>
      <c r="HO20" s="262">
        <v>0</v>
      </c>
      <c r="HP20" s="261">
        <v>0</v>
      </c>
      <c r="HQ20" s="261">
        <v>0</v>
      </c>
      <c r="HR20" s="263">
        <v>0</v>
      </c>
      <c r="HS20" s="261">
        <v>51141.227500000001</v>
      </c>
      <c r="HT20" s="261">
        <v>64965.262000000002</v>
      </c>
      <c r="HU20" s="262">
        <v>-0.21279117599802799</v>
      </c>
      <c r="HV20" s="261">
        <v>508833.929</v>
      </c>
      <c r="HW20" s="261">
        <v>585545.71750000003</v>
      </c>
      <c r="HX20" s="262">
        <v>-0.13100905054437501</v>
      </c>
      <c r="HY20" s="261">
        <v>576876.37549999997</v>
      </c>
      <c r="HZ20" s="261">
        <v>650628.96349999995</v>
      </c>
      <c r="IA20" s="262">
        <v>-0.113355832797935</v>
      </c>
      <c r="IB20" s="261">
        <v>0</v>
      </c>
      <c r="IC20" s="261">
        <v>0</v>
      </c>
      <c r="ID20" s="262">
        <v>0</v>
      </c>
      <c r="IE20" s="261">
        <v>0</v>
      </c>
      <c r="IF20" s="261">
        <v>0</v>
      </c>
      <c r="IG20" s="262">
        <v>0</v>
      </c>
      <c r="IH20" s="261">
        <v>0</v>
      </c>
      <c r="II20" s="261">
        <v>0</v>
      </c>
      <c r="IJ20" s="262">
        <v>0</v>
      </c>
      <c r="IK20" s="261">
        <v>452.00549999999998</v>
      </c>
      <c r="IL20" s="261">
        <v>233.876</v>
      </c>
      <c r="IM20" s="262">
        <v>0.93267158665275596</v>
      </c>
      <c r="IN20" s="261">
        <v>5676.8270000000002</v>
      </c>
      <c r="IO20" s="261">
        <v>5294.7304999999997</v>
      </c>
      <c r="IP20" s="262">
        <v>7.2165429383044294E-2</v>
      </c>
      <c r="IQ20" s="261">
        <v>6071.4989999999998</v>
      </c>
      <c r="IR20" s="261">
        <v>5945.1769999999997</v>
      </c>
      <c r="IS20" s="262">
        <v>2.12478114612904E-2</v>
      </c>
      <c r="IT20" s="261">
        <v>12386.824500000001</v>
      </c>
      <c r="IU20" s="261">
        <v>9512.2355000000007</v>
      </c>
      <c r="IV20" s="262">
        <v>0.302199099254849</v>
      </c>
      <c r="IW20" s="261">
        <v>126966.39999999999</v>
      </c>
      <c r="IX20" s="261">
        <v>133362.25200000001</v>
      </c>
      <c r="IY20" s="262">
        <v>-4.7958488283476298E-2</v>
      </c>
      <c r="IZ20" s="261">
        <v>139228.04500000001</v>
      </c>
      <c r="JA20" s="261">
        <v>142354.08749999999</v>
      </c>
      <c r="JB20" s="262">
        <v>-2.1959625851979699E-2</v>
      </c>
      <c r="JC20" s="261">
        <v>0</v>
      </c>
      <c r="JD20" s="261">
        <v>0</v>
      </c>
      <c r="JE20" s="262">
        <v>0</v>
      </c>
      <c r="JF20" s="261">
        <v>0</v>
      </c>
      <c r="JG20" s="261">
        <v>0</v>
      </c>
      <c r="JH20" s="262">
        <v>0</v>
      </c>
      <c r="JI20" s="261">
        <v>0</v>
      </c>
      <c r="JJ20" s="261">
        <v>0</v>
      </c>
      <c r="JK20" s="263">
        <v>0</v>
      </c>
      <c r="JL20" s="261">
        <v>59985.34</v>
      </c>
      <c r="JM20" s="261">
        <v>68042.446500000005</v>
      </c>
      <c r="JN20" s="262">
        <v>-0.11841294536638999</v>
      </c>
      <c r="JO20" s="261">
        <v>568819.26899999997</v>
      </c>
      <c r="JP20" s="261">
        <v>653588.16399999999</v>
      </c>
      <c r="JQ20" s="262">
        <v>-0.12969772047463199</v>
      </c>
      <c r="JR20" s="261">
        <v>568819.26899999997</v>
      </c>
      <c r="JS20" s="261">
        <v>653588.16399999999</v>
      </c>
      <c r="JT20" s="262">
        <v>-0.12969772047463199</v>
      </c>
      <c r="JU20" s="261">
        <v>0</v>
      </c>
      <c r="JV20" s="261">
        <v>0</v>
      </c>
      <c r="JW20" s="262">
        <v>0</v>
      </c>
      <c r="JX20" s="261">
        <v>0</v>
      </c>
      <c r="JY20" s="261">
        <v>0</v>
      </c>
      <c r="JZ20" s="262">
        <v>0</v>
      </c>
      <c r="KA20" s="261">
        <v>0</v>
      </c>
      <c r="KB20" s="261">
        <v>0</v>
      </c>
      <c r="KC20" s="262">
        <v>0</v>
      </c>
      <c r="KD20" s="261">
        <v>494.43150000000003</v>
      </c>
      <c r="KE20" s="261">
        <v>394.67200000000003</v>
      </c>
      <c r="KF20" s="262">
        <v>0.25276558762719398</v>
      </c>
      <c r="KG20" s="261">
        <v>6171.2584999999999</v>
      </c>
      <c r="KH20" s="261">
        <v>5689.4025000000001</v>
      </c>
      <c r="KI20" s="262">
        <v>8.4693603590183603E-2</v>
      </c>
      <c r="KJ20" s="261">
        <v>6171.2584999999999</v>
      </c>
      <c r="KK20" s="261">
        <v>5689.4025000000001</v>
      </c>
      <c r="KL20" s="262">
        <v>8.4693603590183603E-2</v>
      </c>
      <c r="KM20" s="261">
        <v>9574.1110000000008</v>
      </c>
      <c r="KN20" s="261">
        <v>12261.645</v>
      </c>
      <c r="KO20" s="262">
        <v>-0.219182173354391</v>
      </c>
      <c r="KP20" s="261">
        <v>136540.511</v>
      </c>
      <c r="KQ20" s="261">
        <v>145623.897</v>
      </c>
      <c r="KR20" s="262">
        <v>-6.2375655281358099E-2</v>
      </c>
      <c r="KS20" s="261">
        <v>136540.511</v>
      </c>
      <c r="KT20" s="261">
        <v>145623.897</v>
      </c>
      <c r="KU20" s="262">
        <v>-6.2375655281358099E-2</v>
      </c>
      <c r="KV20" s="261">
        <v>0</v>
      </c>
      <c r="KW20" s="261">
        <v>0</v>
      </c>
      <c r="KX20" s="262">
        <v>0</v>
      </c>
      <c r="KY20" s="261">
        <v>0</v>
      </c>
      <c r="KZ20" s="261">
        <v>0</v>
      </c>
      <c r="LA20" s="262">
        <v>0</v>
      </c>
      <c r="LB20" s="261">
        <v>0</v>
      </c>
      <c r="LC20" s="261">
        <v>0</v>
      </c>
      <c r="LD20" s="263">
        <v>0</v>
      </c>
      <c r="LE20" s="261">
        <v>59131.662499999999</v>
      </c>
      <c r="LF20" s="261">
        <v>55944.6005</v>
      </c>
      <c r="LG20" s="262">
        <v>5.69681787253088E-2</v>
      </c>
      <c r="LH20" s="261">
        <v>59131.662499999999</v>
      </c>
      <c r="LI20" s="261">
        <v>55944.6005</v>
      </c>
      <c r="LJ20" s="262">
        <v>5.69681787253088E-2</v>
      </c>
      <c r="LK20" s="261">
        <v>572006.33100000001</v>
      </c>
      <c r="LL20" s="261">
        <v>651399.78599999996</v>
      </c>
      <c r="LM20" s="262">
        <v>-0.12188130347344001</v>
      </c>
      <c r="LN20" s="261">
        <v>0</v>
      </c>
      <c r="LO20" s="261">
        <v>0</v>
      </c>
      <c r="LP20" s="262">
        <v>0</v>
      </c>
      <c r="LQ20" s="261">
        <v>0</v>
      </c>
      <c r="LR20" s="261">
        <v>0</v>
      </c>
      <c r="LS20" s="262">
        <v>0</v>
      </c>
      <c r="LT20" s="261">
        <v>0</v>
      </c>
      <c r="LU20" s="261">
        <v>0</v>
      </c>
      <c r="LV20" s="262">
        <v>0</v>
      </c>
      <c r="LW20" s="261">
        <v>531.78049999999996</v>
      </c>
      <c r="LX20" s="261">
        <v>593.255</v>
      </c>
      <c r="LY20" s="262">
        <v>-0.103622388349024</v>
      </c>
      <c r="LZ20" s="261">
        <v>531.78049999999996</v>
      </c>
      <c r="MA20" s="261">
        <v>593.255</v>
      </c>
      <c r="MB20" s="262">
        <v>-0.103622388349024</v>
      </c>
      <c r="MC20" s="261">
        <v>6109.7839999999997</v>
      </c>
      <c r="MD20" s="261">
        <v>5657.5450000000001</v>
      </c>
      <c r="ME20" s="262">
        <v>7.9935555086172505E-2</v>
      </c>
      <c r="MF20" s="261">
        <v>8371.7510000000002</v>
      </c>
      <c r="MG20" s="261">
        <v>10134.332</v>
      </c>
      <c r="MH20" s="262">
        <v>-0.17392177402516501</v>
      </c>
      <c r="MI20" s="261">
        <v>8371.7510000000002</v>
      </c>
      <c r="MJ20" s="261">
        <v>10134.332</v>
      </c>
      <c r="MK20" s="262">
        <v>-0.17392177402516501</v>
      </c>
      <c r="ML20" s="261">
        <v>134777.93</v>
      </c>
      <c r="MM20" s="261">
        <v>145273.19399999999</v>
      </c>
      <c r="MN20" s="262">
        <v>-7.2245014451874701E-2</v>
      </c>
      <c r="MO20" s="261">
        <v>0</v>
      </c>
      <c r="MP20" s="261">
        <v>0</v>
      </c>
      <c r="MQ20" s="262">
        <v>0</v>
      </c>
      <c r="MR20" s="261">
        <v>0</v>
      </c>
      <c r="MS20" s="261">
        <v>0</v>
      </c>
      <c r="MT20" s="262">
        <v>0</v>
      </c>
      <c r="MU20" s="261">
        <v>0</v>
      </c>
      <c r="MV20" s="261">
        <v>0</v>
      </c>
      <c r="MW20" s="263">
        <v>0</v>
      </c>
      <c r="MX20" s="261">
        <v>36877.521500000003</v>
      </c>
      <c r="MY20" s="261">
        <v>53965.262999999999</v>
      </c>
      <c r="MZ20" s="262">
        <v>-0.31664334703603703</v>
      </c>
      <c r="NA20" s="261">
        <v>96009.183999999994</v>
      </c>
      <c r="NB20" s="261">
        <v>109909.86350000001</v>
      </c>
      <c r="NC20" s="262">
        <v>-0.12647344885475201</v>
      </c>
      <c r="ND20" s="261">
        <v>554918.5895</v>
      </c>
      <c r="NE20" s="261">
        <v>652263.11199999996</v>
      </c>
      <c r="NF20" s="262">
        <v>-0.149241189190536</v>
      </c>
      <c r="NG20" s="261">
        <v>0</v>
      </c>
      <c r="NH20" s="261">
        <v>0</v>
      </c>
      <c r="NI20" s="262">
        <v>0</v>
      </c>
      <c r="NJ20" s="261">
        <v>0</v>
      </c>
      <c r="NK20" s="261">
        <v>0</v>
      </c>
      <c r="NL20" s="262">
        <v>0</v>
      </c>
      <c r="NM20" s="261">
        <v>0</v>
      </c>
      <c r="NN20" s="261">
        <v>0</v>
      </c>
      <c r="NO20" s="262">
        <v>0</v>
      </c>
      <c r="NP20" s="261">
        <v>427.04</v>
      </c>
      <c r="NQ20" s="261">
        <v>506.63900000000001</v>
      </c>
      <c r="NR20" s="262">
        <v>-0.15711186860861501</v>
      </c>
      <c r="NS20" s="261">
        <v>958.82050000000004</v>
      </c>
      <c r="NT20" s="261">
        <v>1099.894</v>
      </c>
      <c r="NU20" s="262">
        <v>-0.12826099605961999</v>
      </c>
      <c r="NV20" s="261">
        <v>6030.1850000000004</v>
      </c>
      <c r="NW20" s="261">
        <v>5838.7815000000001</v>
      </c>
      <c r="NX20" s="262">
        <v>3.2781411669541002E-2</v>
      </c>
      <c r="NY20" s="261">
        <v>4819.8525</v>
      </c>
      <c r="NZ20" s="261">
        <v>8892.5329999999994</v>
      </c>
      <c r="OA20" s="262">
        <v>-0.45798879801739301</v>
      </c>
      <c r="OB20" s="261">
        <v>13191.603499999999</v>
      </c>
      <c r="OC20" s="261">
        <v>19026.865000000002</v>
      </c>
      <c r="OD20" s="262">
        <v>-0.30668538931663197</v>
      </c>
      <c r="OE20" s="261">
        <v>130705.24950000001</v>
      </c>
      <c r="OF20" s="261">
        <v>148557.18</v>
      </c>
      <c r="OG20" s="262">
        <v>-0.120168749164463</v>
      </c>
      <c r="OH20" s="261">
        <v>0</v>
      </c>
      <c r="OI20" s="261">
        <v>0</v>
      </c>
      <c r="OJ20" s="262">
        <v>0</v>
      </c>
      <c r="OK20" s="261">
        <v>0</v>
      </c>
      <c r="OL20" s="261">
        <v>0</v>
      </c>
      <c r="OM20" s="262">
        <v>0</v>
      </c>
      <c r="ON20" s="261">
        <v>0</v>
      </c>
      <c r="OO20" s="261">
        <v>0</v>
      </c>
      <c r="OP20" s="263">
        <v>0</v>
      </c>
      <c r="OQ20" s="261">
        <v>39021.421999999999</v>
      </c>
      <c r="OR20" s="261">
        <v>51637.243000000002</v>
      </c>
      <c r="OS20" s="262">
        <v>-0.24431631642301299</v>
      </c>
      <c r="OT20" s="261">
        <v>135030.606</v>
      </c>
      <c r="OU20" s="261">
        <v>161547.10649999999</v>
      </c>
      <c r="OV20" s="262">
        <v>-0.16414098076092701</v>
      </c>
      <c r="OW20" s="261">
        <v>542302.76850000001</v>
      </c>
      <c r="OX20" s="261">
        <v>663450.65049999999</v>
      </c>
      <c r="OY20" s="262">
        <v>-0.18260270286674499</v>
      </c>
      <c r="OZ20" s="261">
        <v>0</v>
      </c>
      <c r="PA20" s="261">
        <v>0</v>
      </c>
      <c r="PB20" s="262">
        <v>0</v>
      </c>
      <c r="PC20" s="261">
        <v>0</v>
      </c>
      <c r="PD20" s="261">
        <v>0</v>
      </c>
      <c r="PE20" s="262">
        <v>0</v>
      </c>
      <c r="PF20" s="261">
        <v>0</v>
      </c>
      <c r="PG20" s="261">
        <v>0</v>
      </c>
      <c r="PH20" s="262">
        <v>0</v>
      </c>
      <c r="PI20" s="261">
        <v>470.20499999999998</v>
      </c>
      <c r="PJ20" s="261">
        <v>561.95100000000002</v>
      </c>
      <c r="PK20" s="262">
        <v>-0.16326334502474399</v>
      </c>
      <c r="PL20" s="261">
        <v>1429.0255</v>
      </c>
      <c r="PM20" s="261">
        <v>1661.845</v>
      </c>
      <c r="PN20" s="262">
        <v>-0.140097000622802</v>
      </c>
      <c r="PO20" s="261">
        <v>5938.4390000000003</v>
      </c>
      <c r="PP20" s="261">
        <v>5896.5079999999998</v>
      </c>
      <c r="PQ20" s="262">
        <v>7.1111579938499996E-3</v>
      </c>
      <c r="PR20" s="261">
        <v>9717.7955000000002</v>
      </c>
      <c r="PS20" s="261">
        <v>9891.5329999999994</v>
      </c>
      <c r="PT20" s="262">
        <v>-1.7564264305643999E-2</v>
      </c>
      <c r="PU20" s="261">
        <v>22909.399000000001</v>
      </c>
      <c r="PV20" s="261">
        <v>28918.398000000001</v>
      </c>
      <c r="PW20" s="262">
        <v>-0.20779155885467801</v>
      </c>
      <c r="PX20" s="261">
        <v>130531.512</v>
      </c>
      <c r="PY20" s="261">
        <v>145619.31200000001</v>
      </c>
      <c r="PZ20" s="262">
        <v>-0.10361125727609501</v>
      </c>
      <c r="QA20" s="261">
        <v>0</v>
      </c>
      <c r="QB20" s="261">
        <v>0</v>
      </c>
      <c r="QC20" s="262">
        <v>0</v>
      </c>
      <c r="QD20" s="261">
        <v>0</v>
      </c>
      <c r="QE20" s="261">
        <v>0</v>
      </c>
      <c r="QF20" s="262">
        <v>0</v>
      </c>
      <c r="QG20" s="261">
        <v>0</v>
      </c>
      <c r="QH20" s="261">
        <v>0</v>
      </c>
      <c r="QI20" s="263">
        <v>0</v>
      </c>
      <c r="QJ20" s="261">
        <v>41418.652499999997</v>
      </c>
      <c r="QK20" s="261">
        <v>37176.019</v>
      </c>
      <c r="QL20" s="262">
        <v>0.114122856995527</v>
      </c>
      <c r="QM20" s="261">
        <v>176449.2585</v>
      </c>
      <c r="QN20" s="261">
        <v>198723.12549999999</v>
      </c>
      <c r="QO20" s="262">
        <v>-0.11208492692512501</v>
      </c>
      <c r="QP20" s="261">
        <v>546545.402</v>
      </c>
      <c r="QQ20" s="261">
        <v>662183.51749999996</v>
      </c>
      <c r="QR20" s="262">
        <v>-0.174631521993448</v>
      </c>
      <c r="QS20" s="261">
        <v>0</v>
      </c>
      <c r="QT20" s="261">
        <v>0</v>
      </c>
      <c r="QU20" s="262">
        <v>0</v>
      </c>
      <c r="QV20" s="261">
        <v>0</v>
      </c>
      <c r="QW20" s="261">
        <v>0</v>
      </c>
      <c r="QX20" s="262">
        <v>0</v>
      </c>
      <c r="QY20" s="261">
        <v>0</v>
      </c>
      <c r="QZ20" s="261">
        <v>0</v>
      </c>
      <c r="RA20" s="262">
        <v>0</v>
      </c>
      <c r="RB20" s="261">
        <v>426.19549999999998</v>
      </c>
      <c r="RC20" s="261">
        <v>577.69150000000002</v>
      </c>
      <c r="RD20" s="262">
        <v>-0.26224377544069799</v>
      </c>
      <c r="RE20" s="261">
        <v>1855.221</v>
      </c>
      <c r="RF20" s="261">
        <v>2239.5365000000002</v>
      </c>
      <c r="RG20" s="262">
        <v>-0.17160492807328701</v>
      </c>
      <c r="RH20" s="261">
        <v>5786.9430000000002</v>
      </c>
      <c r="RI20" s="261">
        <v>5959.6679999999997</v>
      </c>
      <c r="RJ20" s="262">
        <v>-2.89823191493217E-2</v>
      </c>
      <c r="RK20" s="261">
        <v>15144.128000000001</v>
      </c>
      <c r="RL20" s="261">
        <v>12984.986999999999</v>
      </c>
      <c r="RM20" s="262">
        <v>0.16627979681458299</v>
      </c>
      <c r="RN20" s="261">
        <v>38053.527000000002</v>
      </c>
      <c r="RO20" s="261">
        <v>41903.385000000002</v>
      </c>
      <c r="RP20" s="262">
        <v>-9.1874630176058597E-2</v>
      </c>
      <c r="RQ20" s="261">
        <v>132690.65299999999</v>
      </c>
      <c r="RR20" s="261">
        <v>147280.9</v>
      </c>
      <c r="RS20" s="262">
        <v>-9.9064080950075697E-2</v>
      </c>
      <c r="RT20" s="261">
        <v>0</v>
      </c>
      <c r="RU20" s="261">
        <v>0</v>
      </c>
      <c r="RV20" s="262">
        <v>0</v>
      </c>
      <c r="RW20" s="261">
        <v>0</v>
      </c>
      <c r="RX20" s="261">
        <v>0</v>
      </c>
      <c r="RY20" s="262">
        <v>0</v>
      </c>
      <c r="RZ20" s="261">
        <v>0</v>
      </c>
      <c r="SA20" s="261">
        <v>0</v>
      </c>
      <c r="SB20" s="263">
        <v>0</v>
      </c>
      <c r="SC20" s="261">
        <v>37339.85</v>
      </c>
      <c r="SD20" s="261">
        <v>29418.547500000001</v>
      </c>
      <c r="SE20" s="262">
        <v>0.26926218910026101</v>
      </c>
      <c r="SF20" s="261">
        <v>213789.1085</v>
      </c>
      <c r="SG20" s="261">
        <v>228141.67300000001</v>
      </c>
      <c r="SH20" s="262">
        <v>-6.2910753266896602E-2</v>
      </c>
      <c r="SI20" s="261">
        <v>554466.70449999999</v>
      </c>
      <c r="SJ20" s="261">
        <v>655022.70900000003</v>
      </c>
      <c r="SK20" s="262">
        <v>-0.153515295146813</v>
      </c>
      <c r="SL20" s="261">
        <v>0</v>
      </c>
      <c r="SM20" s="261">
        <v>0</v>
      </c>
      <c r="SN20" s="262">
        <v>0</v>
      </c>
      <c r="SO20" s="261">
        <v>0</v>
      </c>
      <c r="SP20" s="261">
        <v>0</v>
      </c>
      <c r="SQ20" s="262">
        <v>0</v>
      </c>
      <c r="SR20" s="261">
        <v>0</v>
      </c>
      <c r="SS20" s="261">
        <v>0</v>
      </c>
      <c r="ST20" s="262">
        <v>0</v>
      </c>
      <c r="SU20" s="261">
        <v>500.1035</v>
      </c>
      <c r="SV20" s="261">
        <v>609.53150000000005</v>
      </c>
      <c r="SW20" s="262">
        <v>-0.179528047360965</v>
      </c>
      <c r="SX20" s="261">
        <v>2355.3245000000002</v>
      </c>
      <c r="SY20" s="261">
        <v>2849.0680000000002</v>
      </c>
      <c r="SZ20" s="262">
        <v>-0.173300005475475</v>
      </c>
      <c r="TA20" s="261">
        <v>5677.5150000000003</v>
      </c>
      <c r="TB20" s="261">
        <v>6021.2245000000003</v>
      </c>
      <c r="TC20" s="262">
        <v>-5.7082990345236201E-2</v>
      </c>
      <c r="TD20" s="261">
        <v>11267.936</v>
      </c>
      <c r="TE20" s="261">
        <v>10486.427</v>
      </c>
      <c r="TF20" s="262">
        <v>7.4525765544355596E-2</v>
      </c>
      <c r="TG20" s="261">
        <v>49321.463000000003</v>
      </c>
      <c r="TH20" s="261">
        <v>52389.811999999998</v>
      </c>
      <c r="TI20" s="262">
        <v>-5.8567665789676697E-2</v>
      </c>
      <c r="TJ20" s="261">
        <v>133472.16200000001</v>
      </c>
      <c r="TK20" s="261">
        <v>145492.23749999999</v>
      </c>
      <c r="TL20" s="262">
        <v>-8.2616610387890796E-2</v>
      </c>
      <c r="TM20" s="261">
        <v>0</v>
      </c>
      <c r="TN20" s="261">
        <v>0</v>
      </c>
      <c r="TO20" s="262">
        <v>0</v>
      </c>
      <c r="TP20" s="261">
        <v>0</v>
      </c>
      <c r="TQ20" s="261">
        <v>0</v>
      </c>
      <c r="TR20" s="262">
        <v>0</v>
      </c>
      <c r="TS20" s="261">
        <v>0</v>
      </c>
      <c r="TT20" s="261">
        <v>0</v>
      </c>
      <c r="TU20" s="263">
        <v>0</v>
      </c>
      <c r="TV20" s="261">
        <v>50901.923499999997</v>
      </c>
      <c r="TW20" s="261">
        <v>23718.671999999999</v>
      </c>
      <c r="TX20" s="262">
        <v>1.14606970828721</v>
      </c>
      <c r="TY20" s="261">
        <v>264691.03200000001</v>
      </c>
      <c r="TZ20" s="261">
        <v>251860.345</v>
      </c>
      <c r="UA20" s="262">
        <v>5.0943656890488298E-2</v>
      </c>
      <c r="UB20" s="261">
        <v>581649.95600000001</v>
      </c>
      <c r="UC20" s="261">
        <v>625325.79650000005</v>
      </c>
      <c r="UD20" s="262">
        <v>-6.9844936422673295E-2</v>
      </c>
      <c r="UE20" s="261">
        <v>0</v>
      </c>
      <c r="UF20" s="261">
        <v>0</v>
      </c>
      <c r="UG20" s="262">
        <v>0</v>
      </c>
      <c r="UH20" s="261">
        <v>0</v>
      </c>
      <c r="UI20" s="261">
        <v>0</v>
      </c>
      <c r="UJ20" s="262">
        <v>0</v>
      </c>
      <c r="UK20" s="261">
        <v>0</v>
      </c>
      <c r="UL20" s="261">
        <v>0</v>
      </c>
      <c r="UM20" s="262">
        <v>0</v>
      </c>
      <c r="UN20" s="261">
        <v>486.94450000000001</v>
      </c>
      <c r="UO20" s="261">
        <v>496.51600000000002</v>
      </c>
      <c r="UP20" s="262">
        <v>-1.92773243963941E-2</v>
      </c>
      <c r="UQ20" s="261">
        <v>2842.2689999999998</v>
      </c>
      <c r="UR20" s="261">
        <v>3345.5839999999998</v>
      </c>
      <c r="US20" s="262">
        <v>-0.150441597042549</v>
      </c>
      <c r="UT20" s="261">
        <v>5667.9435000000003</v>
      </c>
      <c r="UU20" s="261">
        <v>6037.9610000000002</v>
      </c>
      <c r="UV20" s="262">
        <v>-6.1281863198520102E-2</v>
      </c>
      <c r="UW20" s="261">
        <v>13462.050999999999</v>
      </c>
      <c r="UX20" s="261">
        <v>14345.347</v>
      </c>
      <c r="UY20" s="262">
        <v>-6.1573693546764702E-2</v>
      </c>
      <c r="UZ20" s="261">
        <v>62783.514000000003</v>
      </c>
      <c r="VA20" s="261">
        <v>66735.159</v>
      </c>
      <c r="VB20" s="262">
        <v>-5.9213839589413397E-2</v>
      </c>
      <c r="VC20" s="261">
        <v>132588.86600000001</v>
      </c>
      <c r="VD20" s="261">
        <v>143253.315</v>
      </c>
      <c r="VE20" s="262">
        <v>-7.4444692606240898E-2</v>
      </c>
      <c r="VF20" s="261">
        <v>0</v>
      </c>
      <c r="VG20" s="261">
        <v>0</v>
      </c>
      <c r="VH20" s="262">
        <v>0</v>
      </c>
      <c r="VI20" s="261">
        <v>0</v>
      </c>
      <c r="VJ20" s="261">
        <v>0</v>
      </c>
      <c r="VK20" s="262">
        <v>0</v>
      </c>
      <c r="VL20" s="261">
        <v>0</v>
      </c>
      <c r="VM20" s="261">
        <v>0</v>
      </c>
      <c r="VN20" s="263">
        <v>0</v>
      </c>
    </row>
    <row r="21" spans="1:586">
      <c r="A21" s="267" t="s">
        <v>67</v>
      </c>
      <c r="B21" s="261">
        <v>58682.317000000003</v>
      </c>
      <c r="C21" s="261">
        <v>92371.871499999994</v>
      </c>
      <c r="D21" s="262">
        <v>-0.36471659557098002</v>
      </c>
      <c r="E21" s="261">
        <v>411338.29300000001</v>
      </c>
      <c r="F21" s="261">
        <v>466481.23149999999</v>
      </c>
      <c r="G21" s="262">
        <v>-0.118210411858767</v>
      </c>
      <c r="H21" s="261">
        <v>1139352.1695000001</v>
      </c>
      <c r="I21" s="261">
        <v>1095149.1189999999</v>
      </c>
      <c r="J21" s="262">
        <v>4.0362586001404702E-2</v>
      </c>
      <c r="K21" s="261">
        <v>0</v>
      </c>
      <c r="L21" s="261">
        <v>0</v>
      </c>
      <c r="M21" s="262">
        <v>0</v>
      </c>
      <c r="N21" s="261">
        <v>0</v>
      </c>
      <c r="O21" s="261">
        <v>0</v>
      </c>
      <c r="P21" s="262">
        <v>0</v>
      </c>
      <c r="Q21" s="261">
        <v>0</v>
      </c>
      <c r="R21" s="261">
        <v>0</v>
      </c>
      <c r="S21" s="262">
        <v>0</v>
      </c>
      <c r="T21" s="261">
        <v>496.51600000000002</v>
      </c>
      <c r="U21" s="261">
        <v>479.77949999999998</v>
      </c>
      <c r="V21" s="262">
        <v>3.4883733048202401E-2</v>
      </c>
      <c r="W21" s="261">
        <v>3345.5839999999998</v>
      </c>
      <c r="X21" s="261">
        <v>2997.0255000000002</v>
      </c>
      <c r="Y21" s="262">
        <v>0.116301479583674</v>
      </c>
      <c r="Z21" s="261">
        <v>6037.9610000000002</v>
      </c>
      <c r="AA21" s="261">
        <v>5612.893</v>
      </c>
      <c r="AB21" s="262">
        <v>7.5730643716172802E-2</v>
      </c>
      <c r="AC21" s="261">
        <v>14345.347</v>
      </c>
      <c r="AD21" s="261">
        <v>16584.269499999999</v>
      </c>
      <c r="AE21" s="262">
        <v>-0.13500278079779099</v>
      </c>
      <c r="AF21" s="261">
        <v>66735.159</v>
      </c>
      <c r="AG21" s="261">
        <v>69105.740999999995</v>
      </c>
      <c r="AH21" s="262">
        <v>-3.4303691208520497E-2</v>
      </c>
      <c r="AI21" s="261">
        <v>143253.315</v>
      </c>
      <c r="AJ21" s="261">
        <v>136927.565</v>
      </c>
      <c r="AK21" s="262">
        <v>4.6197783477709503E-2</v>
      </c>
      <c r="AL21" s="261">
        <v>0</v>
      </c>
      <c r="AM21" s="261">
        <v>0</v>
      </c>
      <c r="AN21" s="262">
        <v>0</v>
      </c>
      <c r="AO21" s="261">
        <v>0</v>
      </c>
      <c r="AP21" s="261">
        <v>0</v>
      </c>
      <c r="AQ21" s="262">
        <v>0</v>
      </c>
      <c r="AR21" s="261">
        <v>0</v>
      </c>
      <c r="AS21" s="261">
        <v>0</v>
      </c>
      <c r="AT21" s="263">
        <v>0</v>
      </c>
      <c r="AU21" s="261">
        <v>83450.535999999993</v>
      </c>
      <c r="AV21" s="261">
        <v>121095.00750000001</v>
      </c>
      <c r="AW21" s="262">
        <v>-0.31086724611664901</v>
      </c>
      <c r="AX21" s="261">
        <v>494788.82900000003</v>
      </c>
      <c r="AY21" s="261">
        <v>587576.23899999994</v>
      </c>
      <c r="AZ21" s="262">
        <v>-0.157915524558848</v>
      </c>
      <c r="BA21" s="261">
        <v>1101707.6980000001</v>
      </c>
      <c r="BB21" s="261">
        <v>1102211.2694999999</v>
      </c>
      <c r="BC21" s="262">
        <v>-4.5687384436586499E-4</v>
      </c>
      <c r="BD21" s="261">
        <v>0</v>
      </c>
      <c r="BE21" s="261">
        <v>0</v>
      </c>
      <c r="BF21" s="262">
        <v>0</v>
      </c>
      <c r="BG21" s="261">
        <v>0</v>
      </c>
      <c r="BH21" s="261">
        <v>0</v>
      </c>
      <c r="BI21" s="262">
        <v>0</v>
      </c>
      <c r="BJ21" s="261">
        <v>0</v>
      </c>
      <c r="BK21" s="261">
        <v>0</v>
      </c>
      <c r="BL21" s="262">
        <v>0</v>
      </c>
      <c r="BM21" s="261">
        <v>430.61149999999998</v>
      </c>
      <c r="BN21" s="261">
        <v>573.66099999999994</v>
      </c>
      <c r="BO21" s="262">
        <v>-0.24936242833311001</v>
      </c>
      <c r="BP21" s="261">
        <v>3776.1954999999998</v>
      </c>
      <c r="BQ21" s="261">
        <v>3570.6864999999998</v>
      </c>
      <c r="BR21" s="262">
        <v>5.7554478669578003E-2</v>
      </c>
      <c r="BS21" s="261">
        <v>5894.9115000000002</v>
      </c>
      <c r="BT21" s="261">
        <v>5762.96</v>
      </c>
      <c r="BU21" s="262">
        <v>2.2896480280966702E-2</v>
      </c>
      <c r="BV21" s="261">
        <v>13980.217500000001</v>
      </c>
      <c r="BW21" s="261">
        <v>15726.691000000001</v>
      </c>
      <c r="BX21" s="262">
        <v>-0.11105155560060299</v>
      </c>
      <c r="BY21" s="261">
        <v>80715.376499999998</v>
      </c>
      <c r="BZ21" s="261">
        <v>84832.432000000001</v>
      </c>
      <c r="CA21" s="262">
        <v>-4.85316217269358E-2</v>
      </c>
      <c r="CB21" s="261">
        <v>141506.84150000001</v>
      </c>
      <c r="CC21" s="261">
        <v>140113.06</v>
      </c>
      <c r="CD21" s="262">
        <v>9.9475487866727899E-3</v>
      </c>
      <c r="CE21" s="261">
        <v>0</v>
      </c>
      <c r="CF21" s="261">
        <v>0</v>
      </c>
      <c r="CG21" s="262">
        <v>0</v>
      </c>
      <c r="CH21" s="261">
        <v>0</v>
      </c>
      <c r="CI21" s="261">
        <v>0</v>
      </c>
      <c r="CJ21" s="262">
        <v>0</v>
      </c>
      <c r="CK21" s="261">
        <v>0</v>
      </c>
      <c r="CL21" s="261">
        <v>0</v>
      </c>
      <c r="CM21" s="263">
        <v>0</v>
      </c>
      <c r="CN21" s="261">
        <v>93167.946500000005</v>
      </c>
      <c r="CO21" s="261">
        <v>140658.54699999999</v>
      </c>
      <c r="CP21" s="262">
        <v>-0.33763039298280301</v>
      </c>
      <c r="CQ21" s="261">
        <v>587956.77549999999</v>
      </c>
      <c r="CR21" s="261">
        <v>728234.78599999996</v>
      </c>
      <c r="CS21" s="262">
        <v>-0.19262745092212599</v>
      </c>
      <c r="CT21" s="261">
        <v>1054217.0974999999</v>
      </c>
      <c r="CU21" s="261">
        <v>1138573.2675000001</v>
      </c>
      <c r="CV21" s="262">
        <v>-7.4089364653030496E-2</v>
      </c>
      <c r="CW21" s="261">
        <v>0</v>
      </c>
      <c r="CX21" s="261">
        <v>0</v>
      </c>
      <c r="CY21" s="262">
        <v>0</v>
      </c>
      <c r="CZ21" s="261">
        <v>0</v>
      </c>
      <c r="DA21" s="261">
        <v>0</v>
      </c>
      <c r="DB21" s="262">
        <v>0</v>
      </c>
      <c r="DC21" s="261">
        <v>0</v>
      </c>
      <c r="DD21" s="261">
        <v>0</v>
      </c>
      <c r="DE21" s="262">
        <v>0</v>
      </c>
      <c r="DF21" s="261">
        <v>569.72400000000005</v>
      </c>
      <c r="DG21" s="261">
        <v>493.64699999999999</v>
      </c>
      <c r="DH21" s="262">
        <v>0.15411214896474601</v>
      </c>
      <c r="DI21" s="261">
        <v>4345.9195</v>
      </c>
      <c r="DJ21" s="261">
        <v>4064.3335000000002</v>
      </c>
      <c r="DK21" s="262">
        <v>6.9282208263667294E-2</v>
      </c>
      <c r="DL21" s="261">
        <v>5970.9885000000004</v>
      </c>
      <c r="DM21" s="261">
        <v>5730.5045</v>
      </c>
      <c r="DN21" s="262">
        <v>4.1965589591631998E-2</v>
      </c>
      <c r="DO21" s="261">
        <v>11851.319</v>
      </c>
      <c r="DP21" s="261">
        <v>15578.734</v>
      </c>
      <c r="DQ21" s="262">
        <v>-0.23926302355505899</v>
      </c>
      <c r="DR21" s="261">
        <v>92566.695500000002</v>
      </c>
      <c r="DS21" s="261">
        <v>100411.166</v>
      </c>
      <c r="DT21" s="262">
        <v>-7.8123487780233494E-2</v>
      </c>
      <c r="DU21" s="261">
        <v>137779.4265</v>
      </c>
      <c r="DV21" s="261">
        <v>141008.68</v>
      </c>
      <c r="DW21" s="262">
        <v>-2.2901097294152298E-2</v>
      </c>
      <c r="DX21" s="261">
        <v>0</v>
      </c>
      <c r="DY21" s="261">
        <v>0</v>
      </c>
      <c r="DZ21" s="262">
        <v>0</v>
      </c>
      <c r="EA21" s="261">
        <v>0</v>
      </c>
      <c r="EB21" s="261">
        <v>0</v>
      </c>
      <c r="EC21" s="262">
        <v>0</v>
      </c>
      <c r="ED21" s="261">
        <v>0</v>
      </c>
      <c r="EE21" s="261">
        <v>0</v>
      </c>
      <c r="EF21" s="263">
        <v>0</v>
      </c>
      <c r="EG21" s="261">
        <v>69587.221000000005</v>
      </c>
      <c r="EH21" s="261">
        <v>118937.0635</v>
      </c>
      <c r="EI21" s="262">
        <v>-0.414924003063183</v>
      </c>
      <c r="EJ21" s="261">
        <v>657543.99650000001</v>
      </c>
      <c r="EK21" s="261">
        <v>847171.84950000001</v>
      </c>
      <c r="EL21" s="262">
        <v>-0.22383634809385899</v>
      </c>
      <c r="EM21" s="261">
        <v>1004867.255</v>
      </c>
      <c r="EN21" s="261">
        <v>1151459.5674999999</v>
      </c>
      <c r="EO21" s="262">
        <v>-0.127309995624314</v>
      </c>
      <c r="EP21" s="261">
        <v>0</v>
      </c>
      <c r="EQ21" s="261">
        <v>0</v>
      </c>
      <c r="ER21" s="262">
        <v>0</v>
      </c>
      <c r="ES21" s="261">
        <v>0</v>
      </c>
      <c r="ET21" s="261">
        <v>0</v>
      </c>
      <c r="EU21" s="262">
        <v>0</v>
      </c>
      <c r="EV21" s="261">
        <v>0</v>
      </c>
      <c r="EW21" s="261">
        <v>0</v>
      </c>
      <c r="EX21" s="262">
        <v>0</v>
      </c>
      <c r="EY21" s="261">
        <v>343.99549999999999</v>
      </c>
      <c r="EZ21" s="261">
        <v>467.26499999999999</v>
      </c>
      <c r="FA21" s="262">
        <v>-0.26381068558526699</v>
      </c>
      <c r="FB21" s="261">
        <v>4689.915</v>
      </c>
      <c r="FC21" s="261">
        <v>4531.5985000000001</v>
      </c>
      <c r="FD21" s="262">
        <v>3.4936126843540902E-2</v>
      </c>
      <c r="FE21" s="261">
        <v>5847.7190000000001</v>
      </c>
      <c r="FF21" s="261">
        <v>5766.3905000000004</v>
      </c>
      <c r="FG21" s="262">
        <v>1.41038835299135E-2</v>
      </c>
      <c r="FH21" s="261">
        <v>13929.98</v>
      </c>
      <c r="FI21" s="261">
        <v>14196.128500000001</v>
      </c>
      <c r="FJ21" s="262">
        <v>-1.8747963573308098E-2</v>
      </c>
      <c r="FK21" s="261">
        <v>106496.6755</v>
      </c>
      <c r="FL21" s="261">
        <v>114607.2945</v>
      </c>
      <c r="FM21" s="262">
        <v>-7.0768785140460699E-2</v>
      </c>
      <c r="FN21" s="261">
        <v>137513.27799999999</v>
      </c>
      <c r="FO21" s="261">
        <v>145270.726</v>
      </c>
      <c r="FP21" s="262">
        <v>-5.3399939640970798E-2</v>
      </c>
      <c r="FQ21" s="261">
        <v>0</v>
      </c>
      <c r="FR21" s="261">
        <v>0</v>
      </c>
      <c r="FS21" s="262">
        <v>0</v>
      </c>
      <c r="FT21" s="261">
        <v>0</v>
      </c>
      <c r="FU21" s="261">
        <v>0</v>
      </c>
      <c r="FV21" s="262">
        <v>0</v>
      </c>
      <c r="FW21" s="261">
        <v>0</v>
      </c>
      <c r="FX21" s="261">
        <v>0</v>
      </c>
      <c r="FY21" s="263">
        <v>0</v>
      </c>
      <c r="FZ21" s="261">
        <v>85204.099000000002</v>
      </c>
      <c r="GA21" s="261">
        <v>120829.299</v>
      </c>
      <c r="GB21" s="262">
        <v>-0.29483908534469</v>
      </c>
      <c r="GC21" s="261">
        <v>742748.09550000005</v>
      </c>
      <c r="GD21" s="261">
        <v>968001.14850000001</v>
      </c>
      <c r="GE21" s="262">
        <v>-0.23269915882749601</v>
      </c>
      <c r="GF21" s="261">
        <v>969242.05500000005</v>
      </c>
      <c r="GG21" s="261">
        <v>1163096.6195</v>
      </c>
      <c r="GH21" s="262">
        <v>-0.16667107551506399</v>
      </c>
      <c r="GI21" s="261">
        <v>0</v>
      </c>
      <c r="GJ21" s="261">
        <v>0</v>
      </c>
      <c r="GK21" s="262">
        <v>0</v>
      </c>
      <c r="GL21" s="261">
        <v>0</v>
      </c>
      <c r="GM21" s="261">
        <v>0</v>
      </c>
      <c r="GN21" s="262">
        <v>0</v>
      </c>
      <c r="GO21" s="261">
        <v>0</v>
      </c>
      <c r="GP21" s="261">
        <v>0</v>
      </c>
      <c r="GQ21" s="262">
        <v>0</v>
      </c>
      <c r="GR21" s="261">
        <v>534.90650000000005</v>
      </c>
      <c r="GS21" s="261">
        <v>529.25599999999997</v>
      </c>
      <c r="GT21" s="262">
        <v>1.06763078736945E-2</v>
      </c>
      <c r="GU21" s="261">
        <v>5224.8215</v>
      </c>
      <c r="GV21" s="261">
        <v>5060.8545000000004</v>
      </c>
      <c r="GW21" s="262">
        <v>3.2399074108927603E-2</v>
      </c>
      <c r="GX21" s="261">
        <v>5853.3694999999998</v>
      </c>
      <c r="GY21" s="261">
        <v>6015.643</v>
      </c>
      <c r="GZ21" s="262">
        <v>-2.6975254349368798E-2</v>
      </c>
      <c r="HA21" s="261">
        <v>8082.9</v>
      </c>
      <c r="HB21" s="261">
        <v>9242.7219999999998</v>
      </c>
      <c r="HC21" s="262">
        <v>-0.12548489503416899</v>
      </c>
      <c r="HD21" s="261">
        <v>114579.57550000001</v>
      </c>
      <c r="HE21" s="261">
        <v>123850.0165</v>
      </c>
      <c r="HF21" s="262">
        <v>-7.4852157972865402E-2</v>
      </c>
      <c r="HG21" s="261">
        <v>136353.45600000001</v>
      </c>
      <c r="HH21" s="261">
        <v>143652.046</v>
      </c>
      <c r="HI21" s="262">
        <v>-5.0807421148738798E-2</v>
      </c>
      <c r="HJ21" s="261">
        <v>0</v>
      </c>
      <c r="HK21" s="261">
        <v>0</v>
      </c>
      <c r="HL21" s="262">
        <v>0</v>
      </c>
      <c r="HM21" s="261">
        <v>0</v>
      </c>
      <c r="HN21" s="261">
        <v>0</v>
      </c>
      <c r="HO21" s="262">
        <v>0</v>
      </c>
      <c r="HP21" s="261">
        <v>0</v>
      </c>
      <c r="HQ21" s="261">
        <v>0</v>
      </c>
      <c r="HR21" s="263">
        <v>0</v>
      </c>
      <c r="HS21" s="261">
        <v>85869.997499999998</v>
      </c>
      <c r="HT21" s="261">
        <v>115188.242</v>
      </c>
      <c r="HU21" s="262">
        <v>-0.25452462847727098</v>
      </c>
      <c r="HV21" s="261">
        <v>828618.09299999999</v>
      </c>
      <c r="HW21" s="261">
        <v>1083189.3905</v>
      </c>
      <c r="HX21" s="262">
        <v>-0.23502011719528601</v>
      </c>
      <c r="HY21" s="261">
        <v>939923.81050000002</v>
      </c>
      <c r="HZ21" s="261">
        <v>1188358.3935</v>
      </c>
      <c r="IA21" s="262">
        <v>-0.20905695147092801</v>
      </c>
      <c r="IB21" s="261">
        <v>0</v>
      </c>
      <c r="IC21" s="261">
        <v>0</v>
      </c>
      <c r="ID21" s="262">
        <v>0</v>
      </c>
      <c r="IE21" s="261">
        <v>0</v>
      </c>
      <c r="IF21" s="261">
        <v>0</v>
      </c>
      <c r="IG21" s="262">
        <v>0</v>
      </c>
      <c r="IH21" s="261">
        <v>0</v>
      </c>
      <c r="II21" s="261">
        <v>0</v>
      </c>
      <c r="IJ21" s="262">
        <v>0</v>
      </c>
      <c r="IK21" s="261">
        <v>452.00549999999998</v>
      </c>
      <c r="IL21" s="261">
        <v>233.876</v>
      </c>
      <c r="IM21" s="262">
        <v>0.93267158665275596</v>
      </c>
      <c r="IN21" s="261">
        <v>5676.8270000000002</v>
      </c>
      <c r="IO21" s="261">
        <v>5294.7304999999997</v>
      </c>
      <c r="IP21" s="262">
        <v>7.2165429383044294E-2</v>
      </c>
      <c r="IQ21" s="261">
        <v>6071.4989999999998</v>
      </c>
      <c r="IR21" s="261">
        <v>5945.1769999999997</v>
      </c>
      <c r="IS21" s="262">
        <v>2.12478114612904E-2</v>
      </c>
      <c r="IT21" s="261">
        <v>12386.824500000001</v>
      </c>
      <c r="IU21" s="261">
        <v>9512.2355000000007</v>
      </c>
      <c r="IV21" s="262">
        <v>0.302199099254849</v>
      </c>
      <c r="IW21" s="261">
        <v>126966.39999999999</v>
      </c>
      <c r="IX21" s="261">
        <v>133362.25200000001</v>
      </c>
      <c r="IY21" s="262">
        <v>-4.7958488283476298E-2</v>
      </c>
      <c r="IZ21" s="261">
        <v>139228.04500000001</v>
      </c>
      <c r="JA21" s="261">
        <v>142354.08749999999</v>
      </c>
      <c r="JB21" s="262">
        <v>-2.1959625851979699E-2</v>
      </c>
      <c r="JC21" s="261">
        <v>0</v>
      </c>
      <c r="JD21" s="261">
        <v>0</v>
      </c>
      <c r="JE21" s="262">
        <v>0</v>
      </c>
      <c r="JF21" s="261">
        <v>0</v>
      </c>
      <c r="JG21" s="261">
        <v>0</v>
      </c>
      <c r="JH21" s="262">
        <v>0</v>
      </c>
      <c r="JI21" s="261">
        <v>0</v>
      </c>
      <c r="JJ21" s="261">
        <v>0</v>
      </c>
      <c r="JK21" s="263">
        <v>0</v>
      </c>
      <c r="JL21" s="261">
        <v>93230.96</v>
      </c>
      <c r="JM21" s="261">
        <v>111305.7175</v>
      </c>
      <c r="JN21" s="262">
        <v>-0.16238840111695099</v>
      </c>
      <c r="JO21" s="261">
        <v>921849.05299999996</v>
      </c>
      <c r="JP21" s="261">
        <v>1194495.108</v>
      </c>
      <c r="JQ21" s="262">
        <v>-0.22825213194594299</v>
      </c>
      <c r="JR21" s="261">
        <v>921849.05299999996</v>
      </c>
      <c r="JS21" s="261">
        <v>1194495.108</v>
      </c>
      <c r="JT21" s="262">
        <v>-0.22825213194594299</v>
      </c>
      <c r="JU21" s="261">
        <v>0</v>
      </c>
      <c r="JV21" s="261">
        <v>0</v>
      </c>
      <c r="JW21" s="262">
        <v>0</v>
      </c>
      <c r="JX21" s="261">
        <v>0</v>
      </c>
      <c r="JY21" s="261">
        <v>0</v>
      </c>
      <c r="JZ21" s="262">
        <v>0</v>
      </c>
      <c r="KA21" s="261">
        <v>0</v>
      </c>
      <c r="KB21" s="261">
        <v>0</v>
      </c>
      <c r="KC21" s="262">
        <v>0</v>
      </c>
      <c r="KD21" s="261">
        <v>494.43150000000003</v>
      </c>
      <c r="KE21" s="261">
        <v>394.67200000000003</v>
      </c>
      <c r="KF21" s="262">
        <v>0.25276558762719398</v>
      </c>
      <c r="KG21" s="261">
        <v>6171.2584999999999</v>
      </c>
      <c r="KH21" s="261">
        <v>5689.4025000000001</v>
      </c>
      <c r="KI21" s="262">
        <v>8.4693603590183603E-2</v>
      </c>
      <c r="KJ21" s="261">
        <v>6171.2584999999999</v>
      </c>
      <c r="KK21" s="261">
        <v>5689.4025000000001</v>
      </c>
      <c r="KL21" s="262">
        <v>8.4693603590183603E-2</v>
      </c>
      <c r="KM21" s="261">
        <v>9574.1110000000008</v>
      </c>
      <c r="KN21" s="261">
        <v>12261.645</v>
      </c>
      <c r="KO21" s="262">
        <v>-0.219182173354391</v>
      </c>
      <c r="KP21" s="261">
        <v>136540.511</v>
      </c>
      <c r="KQ21" s="261">
        <v>145623.897</v>
      </c>
      <c r="KR21" s="262">
        <v>-6.2375655281358099E-2</v>
      </c>
      <c r="KS21" s="261">
        <v>136540.511</v>
      </c>
      <c r="KT21" s="261">
        <v>145623.897</v>
      </c>
      <c r="KU21" s="262">
        <v>-6.2375655281358099E-2</v>
      </c>
      <c r="KV21" s="261">
        <v>0</v>
      </c>
      <c r="KW21" s="261">
        <v>0</v>
      </c>
      <c r="KX21" s="262">
        <v>0</v>
      </c>
      <c r="KY21" s="261">
        <v>0</v>
      </c>
      <c r="KZ21" s="261">
        <v>0</v>
      </c>
      <c r="LA21" s="262">
        <v>0</v>
      </c>
      <c r="LB21" s="261">
        <v>0</v>
      </c>
      <c r="LC21" s="261">
        <v>0</v>
      </c>
      <c r="LD21" s="263">
        <v>0</v>
      </c>
      <c r="LE21" s="261">
        <v>81796.972500000003</v>
      </c>
      <c r="LF21" s="261">
        <v>91652.014500000005</v>
      </c>
      <c r="LG21" s="262">
        <v>-0.107526736359952</v>
      </c>
      <c r="LH21" s="261">
        <v>81796.972500000003</v>
      </c>
      <c r="LI21" s="261">
        <v>91652.014500000005</v>
      </c>
      <c r="LJ21" s="262">
        <v>-0.107526736359952</v>
      </c>
      <c r="LK21" s="261">
        <v>911994.01100000006</v>
      </c>
      <c r="LL21" s="261">
        <v>1186685.977</v>
      </c>
      <c r="LM21" s="262">
        <v>-0.23147822703225601</v>
      </c>
      <c r="LN21" s="261">
        <v>0</v>
      </c>
      <c r="LO21" s="261">
        <v>0</v>
      </c>
      <c r="LP21" s="262">
        <v>0</v>
      </c>
      <c r="LQ21" s="261">
        <v>0</v>
      </c>
      <c r="LR21" s="261">
        <v>0</v>
      </c>
      <c r="LS21" s="262">
        <v>0</v>
      </c>
      <c r="LT21" s="261">
        <v>0</v>
      </c>
      <c r="LU21" s="261">
        <v>0</v>
      </c>
      <c r="LV21" s="262">
        <v>0</v>
      </c>
      <c r="LW21" s="261">
        <v>531.78049999999996</v>
      </c>
      <c r="LX21" s="261">
        <v>593.255</v>
      </c>
      <c r="LY21" s="262">
        <v>-0.103622388349024</v>
      </c>
      <c r="LZ21" s="261">
        <v>531.78049999999996</v>
      </c>
      <c r="MA21" s="261">
        <v>593.255</v>
      </c>
      <c r="MB21" s="262">
        <v>-0.103622388349024</v>
      </c>
      <c r="MC21" s="261">
        <v>6109.7839999999997</v>
      </c>
      <c r="MD21" s="261">
        <v>5657.5450000000001</v>
      </c>
      <c r="ME21" s="262">
        <v>7.9935555086172505E-2</v>
      </c>
      <c r="MF21" s="261">
        <v>8371.7510000000002</v>
      </c>
      <c r="MG21" s="261">
        <v>10134.332</v>
      </c>
      <c r="MH21" s="262">
        <v>-0.17392177402516501</v>
      </c>
      <c r="MI21" s="261">
        <v>8371.7510000000002</v>
      </c>
      <c r="MJ21" s="261">
        <v>10134.332</v>
      </c>
      <c r="MK21" s="262">
        <v>-0.17392177402516501</v>
      </c>
      <c r="ML21" s="261">
        <v>134777.93</v>
      </c>
      <c r="MM21" s="261">
        <v>145273.19399999999</v>
      </c>
      <c r="MN21" s="262">
        <v>-7.2245014451874701E-2</v>
      </c>
      <c r="MO21" s="261">
        <v>0</v>
      </c>
      <c r="MP21" s="261">
        <v>0</v>
      </c>
      <c r="MQ21" s="262">
        <v>0</v>
      </c>
      <c r="MR21" s="261">
        <v>0</v>
      </c>
      <c r="MS21" s="261">
        <v>0</v>
      </c>
      <c r="MT21" s="262">
        <v>0</v>
      </c>
      <c r="MU21" s="261">
        <v>0</v>
      </c>
      <c r="MV21" s="261">
        <v>0</v>
      </c>
      <c r="MW21" s="263">
        <v>0</v>
      </c>
      <c r="MX21" s="261">
        <v>53673.181499999999</v>
      </c>
      <c r="MY21" s="261">
        <v>88413.910999999993</v>
      </c>
      <c r="MZ21" s="262">
        <v>-0.39293284401817702</v>
      </c>
      <c r="NA21" s="261">
        <v>135470.15400000001</v>
      </c>
      <c r="NB21" s="261">
        <v>180065.92550000001</v>
      </c>
      <c r="NC21" s="262">
        <v>-0.24766357863748101</v>
      </c>
      <c r="ND21" s="261">
        <v>877253.28150000004</v>
      </c>
      <c r="NE21" s="261">
        <v>1190878.916</v>
      </c>
      <c r="NF21" s="262">
        <v>-0.26335644227662203</v>
      </c>
      <c r="NG21" s="261">
        <v>0</v>
      </c>
      <c r="NH21" s="261">
        <v>0</v>
      </c>
      <c r="NI21" s="262">
        <v>0</v>
      </c>
      <c r="NJ21" s="261">
        <v>0</v>
      </c>
      <c r="NK21" s="261">
        <v>0</v>
      </c>
      <c r="NL21" s="262">
        <v>0</v>
      </c>
      <c r="NM21" s="261">
        <v>0</v>
      </c>
      <c r="NN21" s="261">
        <v>0</v>
      </c>
      <c r="NO21" s="262">
        <v>0</v>
      </c>
      <c r="NP21" s="261">
        <v>427.04</v>
      </c>
      <c r="NQ21" s="261">
        <v>506.63900000000001</v>
      </c>
      <c r="NR21" s="262">
        <v>-0.15711186860861501</v>
      </c>
      <c r="NS21" s="261">
        <v>958.82050000000004</v>
      </c>
      <c r="NT21" s="261">
        <v>1099.894</v>
      </c>
      <c r="NU21" s="262">
        <v>-0.12826099605961999</v>
      </c>
      <c r="NV21" s="261">
        <v>6030.1850000000004</v>
      </c>
      <c r="NW21" s="261">
        <v>5838.7815000000001</v>
      </c>
      <c r="NX21" s="262">
        <v>3.2781411669541002E-2</v>
      </c>
      <c r="NY21" s="261">
        <v>4819.8525</v>
      </c>
      <c r="NZ21" s="261">
        <v>8892.5329999999994</v>
      </c>
      <c r="OA21" s="262">
        <v>-0.45798879801739301</v>
      </c>
      <c r="OB21" s="261">
        <v>13191.603499999999</v>
      </c>
      <c r="OC21" s="261">
        <v>19026.865000000002</v>
      </c>
      <c r="OD21" s="262">
        <v>-0.30668538931663197</v>
      </c>
      <c r="OE21" s="261">
        <v>130705.24950000001</v>
      </c>
      <c r="OF21" s="261">
        <v>148557.18</v>
      </c>
      <c r="OG21" s="262">
        <v>-0.120168749164463</v>
      </c>
      <c r="OH21" s="261">
        <v>0</v>
      </c>
      <c r="OI21" s="261">
        <v>0</v>
      </c>
      <c r="OJ21" s="262">
        <v>0</v>
      </c>
      <c r="OK21" s="261">
        <v>0</v>
      </c>
      <c r="OL21" s="261">
        <v>0</v>
      </c>
      <c r="OM21" s="262">
        <v>0</v>
      </c>
      <c r="ON21" s="261">
        <v>0</v>
      </c>
      <c r="OO21" s="261">
        <v>0</v>
      </c>
      <c r="OP21" s="263">
        <v>0</v>
      </c>
      <c r="OQ21" s="261">
        <v>58489.105000000003</v>
      </c>
      <c r="OR21" s="261">
        <v>75856.034</v>
      </c>
      <c r="OS21" s="262">
        <v>-0.22894591351823099</v>
      </c>
      <c r="OT21" s="261">
        <v>193959.25899999999</v>
      </c>
      <c r="OU21" s="261">
        <v>255921.9595</v>
      </c>
      <c r="OV21" s="262">
        <v>-0.24211560673049601</v>
      </c>
      <c r="OW21" s="261">
        <v>859886.35250000004</v>
      </c>
      <c r="OX21" s="261">
        <v>1203421.8814999999</v>
      </c>
      <c r="OY21" s="262">
        <v>-0.28546558300219799</v>
      </c>
      <c r="OZ21" s="261">
        <v>0</v>
      </c>
      <c r="PA21" s="261">
        <v>0</v>
      </c>
      <c r="PB21" s="262">
        <v>0</v>
      </c>
      <c r="PC21" s="261">
        <v>0</v>
      </c>
      <c r="PD21" s="261">
        <v>0</v>
      </c>
      <c r="PE21" s="262">
        <v>0</v>
      </c>
      <c r="PF21" s="261">
        <v>0</v>
      </c>
      <c r="PG21" s="261">
        <v>0</v>
      </c>
      <c r="PH21" s="262">
        <v>0</v>
      </c>
      <c r="PI21" s="261">
        <v>470.20499999999998</v>
      </c>
      <c r="PJ21" s="261">
        <v>561.95100000000002</v>
      </c>
      <c r="PK21" s="262">
        <v>-0.16326334502474399</v>
      </c>
      <c r="PL21" s="261">
        <v>1429.0255</v>
      </c>
      <c r="PM21" s="261">
        <v>1661.845</v>
      </c>
      <c r="PN21" s="262">
        <v>-0.140097000622802</v>
      </c>
      <c r="PO21" s="261">
        <v>5938.4390000000003</v>
      </c>
      <c r="PP21" s="261">
        <v>5896.5079999999998</v>
      </c>
      <c r="PQ21" s="262">
        <v>7.1111579938499996E-3</v>
      </c>
      <c r="PR21" s="261">
        <v>9717.7955000000002</v>
      </c>
      <c r="PS21" s="261">
        <v>9891.5329999999994</v>
      </c>
      <c r="PT21" s="262">
        <v>-1.7564264305643999E-2</v>
      </c>
      <c r="PU21" s="261">
        <v>22909.399000000001</v>
      </c>
      <c r="PV21" s="261">
        <v>28918.398000000001</v>
      </c>
      <c r="PW21" s="262">
        <v>-0.20779155885467801</v>
      </c>
      <c r="PX21" s="261">
        <v>130531.512</v>
      </c>
      <c r="PY21" s="261">
        <v>145619.31200000001</v>
      </c>
      <c r="PZ21" s="262">
        <v>-0.10361125727609501</v>
      </c>
      <c r="QA21" s="261">
        <v>0</v>
      </c>
      <c r="QB21" s="261">
        <v>0</v>
      </c>
      <c r="QC21" s="262">
        <v>0</v>
      </c>
      <c r="QD21" s="261">
        <v>0</v>
      </c>
      <c r="QE21" s="261">
        <v>0</v>
      </c>
      <c r="QF21" s="262">
        <v>0</v>
      </c>
      <c r="QG21" s="261">
        <v>0</v>
      </c>
      <c r="QH21" s="261">
        <v>0</v>
      </c>
      <c r="QI21" s="263">
        <v>0</v>
      </c>
      <c r="QJ21" s="261">
        <v>65732.164499999999</v>
      </c>
      <c r="QK21" s="261">
        <v>55550.09</v>
      </c>
      <c r="QL21" s="262">
        <v>0.183295373598855</v>
      </c>
      <c r="QM21" s="261">
        <v>259691.4235</v>
      </c>
      <c r="QN21" s="261">
        <v>311472.04950000002</v>
      </c>
      <c r="QO21" s="262">
        <v>-0.16624485594493099</v>
      </c>
      <c r="QP21" s="261">
        <v>870068.42700000003</v>
      </c>
      <c r="QQ21" s="261">
        <v>1199466.9475</v>
      </c>
      <c r="QR21" s="262">
        <v>-0.27462075648399598</v>
      </c>
      <c r="QS21" s="261">
        <v>0</v>
      </c>
      <c r="QT21" s="261">
        <v>0</v>
      </c>
      <c r="QU21" s="262">
        <v>0</v>
      </c>
      <c r="QV21" s="261">
        <v>0</v>
      </c>
      <c r="QW21" s="261">
        <v>0</v>
      </c>
      <c r="QX21" s="262">
        <v>0</v>
      </c>
      <c r="QY21" s="261">
        <v>0</v>
      </c>
      <c r="QZ21" s="261">
        <v>0</v>
      </c>
      <c r="RA21" s="262">
        <v>0</v>
      </c>
      <c r="RB21" s="261">
        <v>426.19549999999998</v>
      </c>
      <c r="RC21" s="261">
        <v>577.69150000000002</v>
      </c>
      <c r="RD21" s="262">
        <v>-0.26224377544069799</v>
      </c>
      <c r="RE21" s="261">
        <v>1855.221</v>
      </c>
      <c r="RF21" s="261">
        <v>2239.5365000000002</v>
      </c>
      <c r="RG21" s="262">
        <v>-0.17160492807328701</v>
      </c>
      <c r="RH21" s="261">
        <v>5786.9430000000002</v>
      </c>
      <c r="RI21" s="261">
        <v>5959.6679999999997</v>
      </c>
      <c r="RJ21" s="262">
        <v>-2.89823191493217E-2</v>
      </c>
      <c r="RK21" s="261">
        <v>15144.128000000001</v>
      </c>
      <c r="RL21" s="261">
        <v>12984.986999999999</v>
      </c>
      <c r="RM21" s="262">
        <v>0.16627979681458299</v>
      </c>
      <c r="RN21" s="261">
        <v>38053.527000000002</v>
      </c>
      <c r="RO21" s="261">
        <v>41903.385000000002</v>
      </c>
      <c r="RP21" s="262">
        <v>-9.1874630176058597E-2</v>
      </c>
      <c r="RQ21" s="261">
        <v>132690.65299999999</v>
      </c>
      <c r="RR21" s="261">
        <v>147280.9</v>
      </c>
      <c r="RS21" s="262">
        <v>-9.9064080950075697E-2</v>
      </c>
      <c r="RT21" s="261">
        <v>0</v>
      </c>
      <c r="RU21" s="261">
        <v>0</v>
      </c>
      <c r="RV21" s="262">
        <v>0</v>
      </c>
      <c r="RW21" s="261">
        <v>0</v>
      </c>
      <c r="RX21" s="261">
        <v>0</v>
      </c>
      <c r="RY21" s="262">
        <v>0</v>
      </c>
      <c r="RZ21" s="261">
        <v>0</v>
      </c>
      <c r="SA21" s="261">
        <v>0</v>
      </c>
      <c r="SB21" s="263">
        <v>0</v>
      </c>
      <c r="SC21" s="261">
        <v>61533.474000000002</v>
      </c>
      <c r="SD21" s="261">
        <v>41183.926500000001</v>
      </c>
      <c r="SE21" s="262">
        <v>0.49411382617924998</v>
      </c>
      <c r="SF21" s="261">
        <v>321224.89750000002</v>
      </c>
      <c r="SG21" s="261">
        <v>352655.97600000002</v>
      </c>
      <c r="SH21" s="262">
        <v>-8.9126742885536903E-2</v>
      </c>
      <c r="SI21" s="261">
        <v>890417.97450000001</v>
      </c>
      <c r="SJ21" s="261">
        <v>1173041.7239999999</v>
      </c>
      <c r="SK21" s="262">
        <v>-0.24093239287028101</v>
      </c>
      <c r="SL21" s="261">
        <v>0</v>
      </c>
      <c r="SM21" s="261">
        <v>0</v>
      </c>
      <c r="SN21" s="262">
        <v>0</v>
      </c>
      <c r="SO21" s="261">
        <v>0</v>
      </c>
      <c r="SP21" s="261">
        <v>0</v>
      </c>
      <c r="SQ21" s="262">
        <v>0</v>
      </c>
      <c r="SR21" s="261">
        <v>0</v>
      </c>
      <c r="SS21" s="261">
        <v>0</v>
      </c>
      <c r="ST21" s="262">
        <v>0</v>
      </c>
      <c r="SU21" s="261">
        <v>500.1035</v>
      </c>
      <c r="SV21" s="261">
        <v>609.53150000000005</v>
      </c>
      <c r="SW21" s="262">
        <v>-0.179528047360965</v>
      </c>
      <c r="SX21" s="261">
        <v>2355.3245000000002</v>
      </c>
      <c r="SY21" s="261">
        <v>2849.0680000000002</v>
      </c>
      <c r="SZ21" s="262">
        <v>-0.173300005475475</v>
      </c>
      <c r="TA21" s="261">
        <v>5677.5150000000003</v>
      </c>
      <c r="TB21" s="261">
        <v>6021.2245000000003</v>
      </c>
      <c r="TC21" s="262">
        <v>-5.7082990345236201E-2</v>
      </c>
      <c r="TD21" s="261">
        <v>11267.936</v>
      </c>
      <c r="TE21" s="261">
        <v>10486.427</v>
      </c>
      <c r="TF21" s="262">
        <v>7.4525765544355596E-2</v>
      </c>
      <c r="TG21" s="261">
        <v>49321.463000000003</v>
      </c>
      <c r="TH21" s="261">
        <v>52389.811999999998</v>
      </c>
      <c r="TI21" s="262">
        <v>-5.8567665789676697E-2</v>
      </c>
      <c r="TJ21" s="261">
        <v>133472.16200000001</v>
      </c>
      <c r="TK21" s="261">
        <v>145492.23749999999</v>
      </c>
      <c r="TL21" s="262">
        <v>-8.2616610387890796E-2</v>
      </c>
      <c r="TM21" s="261">
        <v>0</v>
      </c>
      <c r="TN21" s="261">
        <v>0</v>
      </c>
      <c r="TO21" s="262">
        <v>0</v>
      </c>
      <c r="TP21" s="261">
        <v>0</v>
      </c>
      <c r="TQ21" s="261">
        <v>0</v>
      </c>
      <c r="TR21" s="262">
        <v>0</v>
      </c>
      <c r="TS21" s="261">
        <v>0</v>
      </c>
      <c r="TT21" s="261">
        <v>0</v>
      </c>
      <c r="TU21" s="263">
        <v>0</v>
      </c>
      <c r="TV21" s="261">
        <v>72343.810500000007</v>
      </c>
      <c r="TW21" s="261">
        <v>58682.317000000003</v>
      </c>
      <c r="TX21" s="262">
        <v>0.23280426197213699</v>
      </c>
      <c r="TY21" s="261">
        <v>393568.70799999998</v>
      </c>
      <c r="TZ21" s="261">
        <v>411338.29300000001</v>
      </c>
      <c r="UA21" s="262">
        <v>-4.3199442654370201E-2</v>
      </c>
      <c r="UB21" s="261">
        <v>904079.46799999999</v>
      </c>
      <c r="UC21" s="261">
        <v>1139352.1695000001</v>
      </c>
      <c r="UD21" s="262">
        <v>-0.20649690920696501</v>
      </c>
      <c r="UE21" s="261">
        <v>0</v>
      </c>
      <c r="UF21" s="261">
        <v>0</v>
      </c>
      <c r="UG21" s="262">
        <v>0</v>
      </c>
      <c r="UH21" s="261">
        <v>0</v>
      </c>
      <c r="UI21" s="261">
        <v>0</v>
      </c>
      <c r="UJ21" s="262">
        <v>0</v>
      </c>
      <c r="UK21" s="261">
        <v>0</v>
      </c>
      <c r="UL21" s="261">
        <v>0</v>
      </c>
      <c r="UM21" s="262">
        <v>0</v>
      </c>
      <c r="UN21" s="261">
        <v>486.94450000000001</v>
      </c>
      <c r="UO21" s="261">
        <v>496.51600000000002</v>
      </c>
      <c r="UP21" s="262">
        <v>-1.92773243963941E-2</v>
      </c>
      <c r="UQ21" s="261">
        <v>2842.2689999999998</v>
      </c>
      <c r="UR21" s="261">
        <v>3345.5839999999998</v>
      </c>
      <c r="US21" s="262">
        <v>-0.150441597042549</v>
      </c>
      <c r="UT21" s="261">
        <v>5667.9435000000003</v>
      </c>
      <c r="UU21" s="261">
        <v>6037.9610000000002</v>
      </c>
      <c r="UV21" s="262">
        <v>-6.1281863198520102E-2</v>
      </c>
      <c r="UW21" s="261">
        <v>13462.050999999999</v>
      </c>
      <c r="UX21" s="261">
        <v>14345.347</v>
      </c>
      <c r="UY21" s="262">
        <v>-6.1573693546764702E-2</v>
      </c>
      <c r="UZ21" s="261">
        <v>62783.514000000003</v>
      </c>
      <c r="VA21" s="261">
        <v>66735.159</v>
      </c>
      <c r="VB21" s="262">
        <v>-5.9213839589413397E-2</v>
      </c>
      <c r="VC21" s="261">
        <v>132588.86600000001</v>
      </c>
      <c r="VD21" s="261">
        <v>143253.315</v>
      </c>
      <c r="VE21" s="262">
        <v>-7.4444692606240898E-2</v>
      </c>
      <c r="VF21" s="261">
        <v>0</v>
      </c>
      <c r="VG21" s="261">
        <v>0</v>
      </c>
      <c r="VH21" s="262">
        <v>0</v>
      </c>
      <c r="VI21" s="261">
        <v>0</v>
      </c>
      <c r="VJ21" s="261">
        <v>0</v>
      </c>
      <c r="VK21" s="262">
        <v>0</v>
      </c>
      <c r="VL21" s="261">
        <v>0</v>
      </c>
      <c r="VM21" s="261">
        <v>0</v>
      </c>
      <c r="VN21" s="263">
        <v>0</v>
      </c>
    </row>
    <row r="22" spans="1:586">
      <c r="A22" s="268" t="s">
        <v>10</v>
      </c>
      <c r="B22" s="264">
        <v>21908080.579335999</v>
      </c>
      <c r="C22" s="264">
        <v>20039046.519398998</v>
      </c>
      <c r="D22" s="265">
        <v>9.3269610314426099E-2</v>
      </c>
      <c r="E22" s="264">
        <v>127243350.335127</v>
      </c>
      <c r="F22" s="264">
        <v>123179701.452658</v>
      </c>
      <c r="G22" s="265">
        <v>3.29895984041721E-2</v>
      </c>
      <c r="H22" s="264">
        <v>252706531.792887</v>
      </c>
      <c r="I22" s="264">
        <v>247431421.60160199</v>
      </c>
      <c r="J22" s="265">
        <v>2.13194838276385E-2</v>
      </c>
      <c r="K22" s="264">
        <v>16861.954000000002</v>
      </c>
      <c r="L22" s="264">
        <v>15926.096</v>
      </c>
      <c r="M22" s="265">
        <v>5.8762549214823302E-2</v>
      </c>
      <c r="N22" s="264">
        <v>97184.955000000002</v>
      </c>
      <c r="O22" s="264">
        <v>93264.264999999999</v>
      </c>
      <c r="P22" s="265">
        <v>4.2038502099383999E-2</v>
      </c>
      <c r="Q22" s="264">
        <v>200605.649</v>
      </c>
      <c r="R22" s="264">
        <v>188812.56599999999</v>
      </c>
      <c r="S22" s="265">
        <v>6.2459206237364603E-2</v>
      </c>
      <c r="T22" s="264">
        <v>20078.659</v>
      </c>
      <c r="U22" s="264">
        <v>17059.187999999998</v>
      </c>
      <c r="V22" s="265">
        <v>0.176999690723849</v>
      </c>
      <c r="W22" s="264">
        <v>105268.802</v>
      </c>
      <c r="X22" s="264">
        <v>96795.9</v>
      </c>
      <c r="Y22" s="265">
        <v>8.7533686860703799E-2</v>
      </c>
      <c r="Z22" s="264">
        <v>222758.6</v>
      </c>
      <c r="AA22" s="264">
        <v>205872.18400000001</v>
      </c>
      <c r="AB22" s="265">
        <v>8.2023786175989502E-2</v>
      </c>
      <c r="AC22" s="264">
        <v>454994.67200000002</v>
      </c>
      <c r="AD22" s="264">
        <v>395725.54</v>
      </c>
      <c r="AE22" s="265">
        <v>0.1497733302733</v>
      </c>
      <c r="AF22" s="264">
        <v>2209849.5869999998</v>
      </c>
      <c r="AG22" s="264">
        <v>2024907.3629999999</v>
      </c>
      <c r="AH22" s="265">
        <v>9.1333671544360798E-2</v>
      </c>
      <c r="AI22" s="264">
        <v>4669351.301</v>
      </c>
      <c r="AJ22" s="264">
        <v>4553187.4759999998</v>
      </c>
      <c r="AK22" s="265">
        <v>2.5512638258868899E-2</v>
      </c>
      <c r="AL22" s="264">
        <v>706807.723</v>
      </c>
      <c r="AM22" s="264">
        <v>700510.81299999997</v>
      </c>
      <c r="AN22" s="265">
        <v>8.9890261265674898E-3</v>
      </c>
      <c r="AO22" s="264">
        <v>4287869.2439999999</v>
      </c>
      <c r="AP22" s="264">
        <v>4308539.2230000002</v>
      </c>
      <c r="AQ22" s="265">
        <v>-4.7974447788844696E-3</v>
      </c>
      <c r="AR22" s="264">
        <v>8875858.3959999997</v>
      </c>
      <c r="AS22" s="264">
        <v>8936653.5739999991</v>
      </c>
      <c r="AT22" s="266">
        <v>-6.8029019471982999E-3</v>
      </c>
      <c r="AU22" s="264">
        <v>23845278.733153</v>
      </c>
      <c r="AV22" s="264">
        <v>22643097.116083</v>
      </c>
      <c r="AW22" s="265">
        <v>5.3092631759111601E-2</v>
      </c>
      <c r="AX22" s="264">
        <v>151088629.06828001</v>
      </c>
      <c r="AY22" s="264">
        <v>145822798.56874099</v>
      </c>
      <c r="AZ22" s="265">
        <v>3.6111160608789702E-2</v>
      </c>
      <c r="BA22" s="264">
        <v>253908713.40995699</v>
      </c>
      <c r="BB22" s="264">
        <v>247985516.494497</v>
      </c>
      <c r="BC22" s="265">
        <v>2.3885253458305999E-2</v>
      </c>
      <c r="BD22" s="264">
        <v>19304.875</v>
      </c>
      <c r="BE22" s="264">
        <v>18070.077000000001</v>
      </c>
      <c r="BF22" s="265">
        <v>6.8333853807042405E-2</v>
      </c>
      <c r="BG22" s="264">
        <v>116489.83</v>
      </c>
      <c r="BH22" s="264">
        <v>111334.342</v>
      </c>
      <c r="BI22" s="265">
        <v>4.6306358913047699E-2</v>
      </c>
      <c r="BJ22" s="264">
        <v>201840.44699999999</v>
      </c>
      <c r="BK22" s="264">
        <v>189855.93100000001</v>
      </c>
      <c r="BL22" s="265">
        <v>6.31242644718851E-2</v>
      </c>
      <c r="BM22" s="264">
        <v>23595.451000000001</v>
      </c>
      <c r="BN22" s="264">
        <v>21779.741999999998</v>
      </c>
      <c r="BO22" s="265">
        <v>8.3366873675547001E-2</v>
      </c>
      <c r="BP22" s="264">
        <v>128864.253</v>
      </c>
      <c r="BQ22" s="264">
        <v>118575.64200000001</v>
      </c>
      <c r="BR22" s="265">
        <v>8.6768334764740204E-2</v>
      </c>
      <c r="BS22" s="264">
        <v>224574.30900000001</v>
      </c>
      <c r="BT22" s="264">
        <v>205703.98800000001</v>
      </c>
      <c r="BU22" s="265">
        <v>9.1735319200520193E-2</v>
      </c>
      <c r="BV22" s="264">
        <v>544820.027</v>
      </c>
      <c r="BW22" s="264">
        <v>476883.42300000001</v>
      </c>
      <c r="BX22" s="265">
        <v>0.14245956291082901</v>
      </c>
      <c r="BY22" s="264">
        <v>2754669.6140000001</v>
      </c>
      <c r="BZ22" s="264">
        <v>2501790.7859999998</v>
      </c>
      <c r="CA22" s="265">
        <v>0.101079126765958</v>
      </c>
      <c r="CB22" s="264">
        <v>4737287.9050000003</v>
      </c>
      <c r="CC22" s="264">
        <v>4457016.9519999996</v>
      </c>
      <c r="CD22" s="265">
        <v>6.2883079875708001E-2</v>
      </c>
      <c r="CE22" s="264">
        <v>786437.29700000002</v>
      </c>
      <c r="CF22" s="264">
        <v>768229.98100000003</v>
      </c>
      <c r="CG22" s="265">
        <v>2.37003455349395E-2</v>
      </c>
      <c r="CH22" s="264">
        <v>5074306.5410000002</v>
      </c>
      <c r="CI22" s="264">
        <v>5076769.2039999999</v>
      </c>
      <c r="CJ22" s="265">
        <v>-4.8508468694193101E-4</v>
      </c>
      <c r="CK22" s="264">
        <v>8894065.7119999994</v>
      </c>
      <c r="CL22" s="264">
        <v>8933685.8330000006</v>
      </c>
      <c r="CM22" s="266">
        <v>-4.4349131747668099E-3</v>
      </c>
      <c r="CN22" s="264">
        <v>22145819.473510001</v>
      </c>
      <c r="CO22" s="264">
        <v>21712831.533679999</v>
      </c>
      <c r="CP22" s="265">
        <v>1.99415695349715E-2</v>
      </c>
      <c r="CQ22" s="264">
        <v>173234448.54179001</v>
      </c>
      <c r="CR22" s="264">
        <v>167535630.10242099</v>
      </c>
      <c r="CS22" s="265">
        <v>3.4015560963868499E-2</v>
      </c>
      <c r="CT22" s="264">
        <v>254341701.349787</v>
      </c>
      <c r="CU22" s="264">
        <v>247795183.08018899</v>
      </c>
      <c r="CV22" s="265">
        <v>2.6419069927922999E-2</v>
      </c>
      <c r="CW22" s="264">
        <v>19179.328000000001</v>
      </c>
      <c r="CX22" s="264">
        <v>19301.285</v>
      </c>
      <c r="CY22" s="265">
        <v>-6.3185948500319297E-3</v>
      </c>
      <c r="CZ22" s="264">
        <v>135669.158</v>
      </c>
      <c r="DA22" s="264">
        <v>130635.62699999999</v>
      </c>
      <c r="DB22" s="265">
        <v>3.8531073916000198E-2</v>
      </c>
      <c r="DC22" s="264">
        <v>201718.49</v>
      </c>
      <c r="DD22" s="264">
        <v>192096.196</v>
      </c>
      <c r="DE22" s="265">
        <v>5.0091017939782399E-2</v>
      </c>
      <c r="DF22" s="264">
        <v>22997.080999999998</v>
      </c>
      <c r="DG22" s="264">
        <v>23962.391</v>
      </c>
      <c r="DH22" s="265">
        <v>-4.0284377297741501E-2</v>
      </c>
      <c r="DI22" s="264">
        <v>151861.334</v>
      </c>
      <c r="DJ22" s="264">
        <v>142538.033</v>
      </c>
      <c r="DK22" s="265">
        <v>6.5409216079192006E-2</v>
      </c>
      <c r="DL22" s="264">
        <v>223608.99900000001</v>
      </c>
      <c r="DM22" s="264">
        <v>207873.07500000001</v>
      </c>
      <c r="DN22" s="265">
        <v>7.5699673947672297E-2</v>
      </c>
      <c r="DO22" s="264">
        <v>522102.799</v>
      </c>
      <c r="DP22" s="264">
        <v>545582.71699999995</v>
      </c>
      <c r="DQ22" s="265">
        <v>-4.3036403589008801E-2</v>
      </c>
      <c r="DR22" s="264">
        <v>3276772.4130000002</v>
      </c>
      <c r="DS22" s="264">
        <v>3047373.503</v>
      </c>
      <c r="DT22" s="265">
        <v>7.5277582407987501E-2</v>
      </c>
      <c r="DU22" s="264">
        <v>4713807.9869999997</v>
      </c>
      <c r="DV22" s="264">
        <v>4469641.6380000003</v>
      </c>
      <c r="DW22" s="265">
        <v>5.4627723825584999E-2</v>
      </c>
      <c r="DX22" s="264">
        <v>817848.18299999996</v>
      </c>
      <c r="DY22" s="264">
        <v>790665.451</v>
      </c>
      <c r="DZ22" s="265">
        <v>3.4379562134175E-2</v>
      </c>
      <c r="EA22" s="264">
        <v>5892154.7240000004</v>
      </c>
      <c r="EB22" s="264">
        <v>5867434.6550000003</v>
      </c>
      <c r="EC22" s="265">
        <v>4.2130966007322699E-3</v>
      </c>
      <c r="ED22" s="264">
        <v>8921248.4440000001</v>
      </c>
      <c r="EE22" s="264">
        <v>8913311.2469999995</v>
      </c>
      <c r="EF22" s="266">
        <v>8.9048803301602301E-4</v>
      </c>
      <c r="EG22" s="264">
        <v>20504959.338520002</v>
      </c>
      <c r="EH22" s="264">
        <v>20183280.323132999</v>
      </c>
      <c r="EI22" s="265">
        <v>1.5937895636236502E-2</v>
      </c>
      <c r="EJ22" s="264">
        <v>193739407.88031</v>
      </c>
      <c r="EK22" s="264">
        <v>187718910.42555401</v>
      </c>
      <c r="EL22" s="265">
        <v>3.2071875130255403E-2</v>
      </c>
      <c r="EM22" s="264">
        <v>254663380.365174</v>
      </c>
      <c r="EN22" s="264">
        <v>248610186.76314601</v>
      </c>
      <c r="EO22" s="265">
        <v>2.43481318317617E-2</v>
      </c>
      <c r="EP22" s="264">
        <v>17860.031999999999</v>
      </c>
      <c r="EQ22" s="264">
        <v>17503.611000000001</v>
      </c>
      <c r="ER22" s="265">
        <v>2.0362712585420401E-2</v>
      </c>
      <c r="ES22" s="264">
        <v>153529.19</v>
      </c>
      <c r="ET22" s="264">
        <v>148139.23800000001</v>
      </c>
      <c r="EU22" s="265">
        <v>3.6384364283013199E-2</v>
      </c>
      <c r="EV22" s="264">
        <v>202074.91099999999</v>
      </c>
      <c r="EW22" s="264">
        <v>193895.03</v>
      </c>
      <c r="EX22" s="265">
        <v>4.2187161785425802E-2</v>
      </c>
      <c r="EY22" s="264">
        <v>20088.042000000001</v>
      </c>
      <c r="EZ22" s="264">
        <v>19613.756000000001</v>
      </c>
      <c r="FA22" s="265">
        <v>2.4181293985710801E-2</v>
      </c>
      <c r="FB22" s="264">
        <v>171949.37599999999</v>
      </c>
      <c r="FC22" s="264">
        <v>162151.78899999999</v>
      </c>
      <c r="FD22" s="265">
        <v>6.0422318251450002E-2</v>
      </c>
      <c r="FE22" s="264">
        <v>224083.285</v>
      </c>
      <c r="FF22" s="264">
        <v>210276.80300000001</v>
      </c>
      <c r="FG22" s="265">
        <v>6.5658607145553799E-2</v>
      </c>
      <c r="FH22" s="264">
        <v>438491.03700000001</v>
      </c>
      <c r="FI22" s="264">
        <v>395427.70199999999</v>
      </c>
      <c r="FJ22" s="265">
        <v>0.108903182003167</v>
      </c>
      <c r="FK22" s="264">
        <v>3715263.45</v>
      </c>
      <c r="FL22" s="264">
        <v>3442801.2050000001</v>
      </c>
      <c r="FM22" s="265">
        <v>7.9139697233840206E-2</v>
      </c>
      <c r="FN22" s="264">
        <v>4756871.3219999997</v>
      </c>
      <c r="FO22" s="264">
        <v>4426743.1979999999</v>
      </c>
      <c r="FP22" s="265">
        <v>7.4575847125975703E-2</v>
      </c>
      <c r="FQ22" s="264">
        <v>782666.94700000004</v>
      </c>
      <c r="FR22" s="264">
        <v>745427.44900000002</v>
      </c>
      <c r="FS22" s="265">
        <v>4.9957240037185602E-2</v>
      </c>
      <c r="FT22" s="264">
        <v>6674821.6710000001</v>
      </c>
      <c r="FU22" s="264">
        <v>6612862.1040000003</v>
      </c>
      <c r="FV22" s="265">
        <v>9.3695537613768792E-3</v>
      </c>
      <c r="FW22" s="264">
        <v>8958487.9419999998</v>
      </c>
      <c r="FX22" s="264">
        <v>8906632.6710000001</v>
      </c>
      <c r="FY22" s="266">
        <v>5.8220960620550197E-3</v>
      </c>
      <c r="FZ22" s="264">
        <v>20791412.514428001</v>
      </c>
      <c r="GA22" s="264">
        <v>20244346.841747001</v>
      </c>
      <c r="GB22" s="265">
        <v>2.7023132776645802E-2</v>
      </c>
      <c r="GC22" s="264">
        <v>214530820.39473799</v>
      </c>
      <c r="GD22" s="264">
        <v>207963257.26730099</v>
      </c>
      <c r="GE22" s="265">
        <v>3.1580401335008203E-2</v>
      </c>
      <c r="GF22" s="264">
        <v>255210446.037855</v>
      </c>
      <c r="GG22" s="264">
        <v>249434622.39131001</v>
      </c>
      <c r="GH22" s="265">
        <v>2.3155661355960401E-2</v>
      </c>
      <c r="GI22" s="264">
        <v>17791.544000000002</v>
      </c>
      <c r="GJ22" s="264">
        <v>17129.735000000001</v>
      </c>
      <c r="GK22" s="265">
        <v>3.8635098558150602E-2</v>
      </c>
      <c r="GL22" s="264">
        <v>171320.734</v>
      </c>
      <c r="GM22" s="264">
        <v>165268.973</v>
      </c>
      <c r="GN22" s="265">
        <v>3.6617647524197001E-2</v>
      </c>
      <c r="GO22" s="264">
        <v>202736.72</v>
      </c>
      <c r="GP22" s="264">
        <v>195352.07</v>
      </c>
      <c r="GQ22" s="265">
        <v>3.7801749426049101E-2</v>
      </c>
      <c r="GR22" s="264">
        <v>18944.973999999998</v>
      </c>
      <c r="GS22" s="264">
        <v>17934.853999999999</v>
      </c>
      <c r="GT22" s="265">
        <v>5.6321618230067302E-2</v>
      </c>
      <c r="GU22" s="264">
        <v>190894.35</v>
      </c>
      <c r="GV22" s="264">
        <v>180086.64300000001</v>
      </c>
      <c r="GW22" s="265">
        <v>6.0013928961960797E-2</v>
      </c>
      <c r="GX22" s="264">
        <v>225093.405</v>
      </c>
      <c r="GY22" s="264">
        <v>211386.55100000001</v>
      </c>
      <c r="GZ22" s="265">
        <v>6.4842602025329404E-2</v>
      </c>
      <c r="HA22" s="264">
        <v>381307.21899999998</v>
      </c>
      <c r="HB22" s="264">
        <v>359965.549</v>
      </c>
      <c r="HC22" s="265">
        <v>5.9288090372226099E-2</v>
      </c>
      <c r="HD22" s="264">
        <v>4096570.6690000002</v>
      </c>
      <c r="HE22" s="264">
        <v>3802766.7540000002</v>
      </c>
      <c r="HF22" s="265">
        <v>7.7260566846745704E-2</v>
      </c>
      <c r="HG22" s="264">
        <v>4778212.9919999996</v>
      </c>
      <c r="HH22" s="264">
        <v>4419488.0219999999</v>
      </c>
      <c r="HI22" s="265">
        <v>8.1168897441125307E-2</v>
      </c>
      <c r="HJ22" s="264">
        <v>792843.50600000005</v>
      </c>
      <c r="HK22" s="264">
        <v>778110.82200000004</v>
      </c>
      <c r="HL22" s="265">
        <v>1.8933914788811301E-2</v>
      </c>
      <c r="HM22" s="264">
        <v>7467665.1770000001</v>
      </c>
      <c r="HN22" s="264">
        <v>7390972.926</v>
      </c>
      <c r="HO22" s="265">
        <v>1.03764757046004E-2</v>
      </c>
      <c r="HP22" s="264">
        <v>8973220.6260000002</v>
      </c>
      <c r="HQ22" s="264">
        <v>8872508.2300000004</v>
      </c>
      <c r="HR22" s="266">
        <v>1.1351062561933301E-2</v>
      </c>
      <c r="HS22" s="264">
        <v>21429145.116319999</v>
      </c>
      <c r="HT22" s="264">
        <v>19360429.009164002</v>
      </c>
      <c r="HU22" s="265">
        <v>0.10685280301262</v>
      </c>
      <c r="HV22" s="264">
        <v>235959965.511058</v>
      </c>
      <c r="HW22" s="264">
        <v>227323686.276465</v>
      </c>
      <c r="HX22" s="265">
        <v>3.79911102800339E-2</v>
      </c>
      <c r="HY22" s="264">
        <v>257279162.14501101</v>
      </c>
      <c r="HZ22" s="264">
        <v>248550770.20682299</v>
      </c>
      <c r="IA22" s="265">
        <v>3.5117138968931601E-2</v>
      </c>
      <c r="IB22" s="264">
        <v>16668.941999999999</v>
      </c>
      <c r="IC22" s="264">
        <v>15819.960999999999</v>
      </c>
      <c r="ID22" s="265">
        <v>5.3665176544998999E-2</v>
      </c>
      <c r="IE22" s="264">
        <v>187989.67600000001</v>
      </c>
      <c r="IF22" s="264">
        <v>181088.93400000001</v>
      </c>
      <c r="IG22" s="265">
        <v>3.8106922646084999E-2</v>
      </c>
      <c r="IH22" s="264">
        <v>203585.701</v>
      </c>
      <c r="II22" s="264">
        <v>196512.89799999999</v>
      </c>
      <c r="IJ22" s="265">
        <v>3.5991545959492298E-2</v>
      </c>
      <c r="IK22" s="264">
        <v>17238.156999999999</v>
      </c>
      <c r="IL22" s="264">
        <v>16562.232</v>
      </c>
      <c r="IM22" s="265">
        <v>4.0811226409580501E-2</v>
      </c>
      <c r="IN22" s="264">
        <v>208132.50700000001</v>
      </c>
      <c r="IO22" s="264">
        <v>196648.875</v>
      </c>
      <c r="IP22" s="265">
        <v>5.8396632068197597E-2</v>
      </c>
      <c r="IQ22" s="264">
        <v>225769.33</v>
      </c>
      <c r="IR22" s="264">
        <v>212734.47200000001</v>
      </c>
      <c r="IS22" s="265">
        <v>6.1272899861758101E-2</v>
      </c>
      <c r="IT22" s="264">
        <v>340574.43599999999</v>
      </c>
      <c r="IU22" s="264">
        <v>307022.82500000001</v>
      </c>
      <c r="IV22" s="265">
        <v>0.10928051033339301</v>
      </c>
      <c r="IW22" s="264">
        <v>4437145.1050000004</v>
      </c>
      <c r="IX22" s="264">
        <v>4109789.5789999999</v>
      </c>
      <c r="IY22" s="265">
        <v>7.9652624473210407E-2</v>
      </c>
      <c r="IZ22" s="264">
        <v>4811764.6030000001</v>
      </c>
      <c r="JA22" s="264">
        <v>4419764.82</v>
      </c>
      <c r="JB22" s="265">
        <v>8.8692452871281899E-2</v>
      </c>
      <c r="JC22" s="264">
        <v>751715.79399999999</v>
      </c>
      <c r="JD22" s="264">
        <v>748333.58100000001</v>
      </c>
      <c r="JE22" s="265">
        <v>4.5196595286828203E-3</v>
      </c>
      <c r="JF22" s="264">
        <v>8219380.9709999999</v>
      </c>
      <c r="JG22" s="264">
        <v>8139306.5070000002</v>
      </c>
      <c r="JH22" s="265">
        <v>9.8379958945070609E-3</v>
      </c>
      <c r="JI22" s="264">
        <v>8976602.8389999997</v>
      </c>
      <c r="JJ22" s="264">
        <v>8881236.4350000005</v>
      </c>
      <c r="JK22" s="266">
        <v>1.0737964775284201E-2</v>
      </c>
      <c r="JL22" s="264">
        <v>22160262.832093999</v>
      </c>
      <c r="JM22" s="264">
        <v>21319196.633953001</v>
      </c>
      <c r="JN22" s="265">
        <v>3.9451120630010897E-2</v>
      </c>
      <c r="JO22" s="264">
        <v>258120228.34315199</v>
      </c>
      <c r="JP22" s="264">
        <v>248642882.910418</v>
      </c>
      <c r="JQ22" s="265">
        <v>3.8116294831364701E-2</v>
      </c>
      <c r="JR22" s="264">
        <v>258120228.34315199</v>
      </c>
      <c r="JS22" s="264">
        <v>248642882.910418</v>
      </c>
      <c r="JT22" s="265">
        <v>3.8116294831364701E-2</v>
      </c>
      <c r="JU22" s="264">
        <v>18170.256000000001</v>
      </c>
      <c r="JV22" s="264">
        <v>15596.025</v>
      </c>
      <c r="JW22" s="265">
        <v>0.165056865451293</v>
      </c>
      <c r="JX22" s="264">
        <v>206159.932</v>
      </c>
      <c r="JY22" s="264">
        <v>196684.959</v>
      </c>
      <c r="JZ22" s="265">
        <v>4.8173348120635902E-2</v>
      </c>
      <c r="KA22" s="264">
        <v>206159.932</v>
      </c>
      <c r="KB22" s="264">
        <v>196684.959</v>
      </c>
      <c r="KC22" s="265">
        <v>4.8173348120635902E-2</v>
      </c>
      <c r="KD22" s="264">
        <v>19215.312999999998</v>
      </c>
      <c r="KE22" s="264">
        <v>17636.823</v>
      </c>
      <c r="KF22" s="265">
        <v>8.9499679165573207E-2</v>
      </c>
      <c r="KG22" s="264">
        <v>227347.82</v>
      </c>
      <c r="KH22" s="264">
        <v>214285.698</v>
      </c>
      <c r="KI22" s="265">
        <v>6.0956573966032997E-2</v>
      </c>
      <c r="KJ22" s="264">
        <v>227347.82</v>
      </c>
      <c r="KK22" s="264">
        <v>214285.698</v>
      </c>
      <c r="KL22" s="265">
        <v>6.0956573966032997E-2</v>
      </c>
      <c r="KM22" s="264">
        <v>346936.359</v>
      </c>
      <c r="KN22" s="264">
        <v>374619.49800000002</v>
      </c>
      <c r="KO22" s="265">
        <v>-7.3896684897057793E-2</v>
      </c>
      <c r="KP22" s="264">
        <v>4784081.4639999997</v>
      </c>
      <c r="KQ22" s="264">
        <v>4484409.0769999996</v>
      </c>
      <c r="KR22" s="265">
        <v>6.6825390336707494E-2</v>
      </c>
      <c r="KS22" s="264">
        <v>4784081.4639999997</v>
      </c>
      <c r="KT22" s="264">
        <v>4484409.0769999996</v>
      </c>
      <c r="KU22" s="265">
        <v>6.6825390336707494E-2</v>
      </c>
      <c r="KV22" s="264">
        <v>764080.24399999995</v>
      </c>
      <c r="KW22" s="264">
        <v>757221.86800000002</v>
      </c>
      <c r="KX22" s="265">
        <v>9.0572872890142802E-3</v>
      </c>
      <c r="KY22" s="264">
        <v>8983461.2149999999</v>
      </c>
      <c r="KZ22" s="264">
        <v>8896528.375</v>
      </c>
      <c r="LA22" s="265">
        <v>9.7715464207688597E-3</v>
      </c>
      <c r="LB22" s="264">
        <v>8983461.2149999999</v>
      </c>
      <c r="LC22" s="264">
        <v>8896528.375</v>
      </c>
      <c r="LD22" s="266">
        <v>9.7715464207688597E-3</v>
      </c>
      <c r="LE22" s="264">
        <v>24332081.727552999</v>
      </c>
      <c r="LF22" s="264">
        <v>23203957.022907</v>
      </c>
      <c r="LG22" s="265">
        <v>4.8617772543377999E-2</v>
      </c>
      <c r="LH22" s="264">
        <v>24332081.727552999</v>
      </c>
      <c r="LI22" s="264">
        <v>23203957.022907</v>
      </c>
      <c r="LJ22" s="265">
        <v>4.8617772543377999E-2</v>
      </c>
      <c r="LK22" s="264">
        <v>259248353.04779801</v>
      </c>
      <c r="LL22" s="264">
        <v>249827762.02166</v>
      </c>
      <c r="LM22" s="265">
        <v>3.7708343339845497E-2</v>
      </c>
      <c r="LN22" s="264">
        <v>19173.944</v>
      </c>
      <c r="LO22" s="264">
        <v>17093.042000000001</v>
      </c>
      <c r="LP22" s="265">
        <v>0.121739711398357</v>
      </c>
      <c r="LQ22" s="264">
        <v>19173.944</v>
      </c>
      <c r="LR22" s="264">
        <v>17093.042000000001</v>
      </c>
      <c r="LS22" s="265">
        <v>0.121739711398357</v>
      </c>
      <c r="LT22" s="264">
        <v>208240.834</v>
      </c>
      <c r="LU22" s="264">
        <v>197829.24900000001</v>
      </c>
      <c r="LV22" s="265">
        <v>5.2629148887887597E-2</v>
      </c>
      <c r="LW22" s="264">
        <v>19617.88</v>
      </c>
      <c r="LX22" s="264">
        <v>18605.823</v>
      </c>
      <c r="LY22" s="265">
        <v>5.4394637635755097E-2</v>
      </c>
      <c r="LZ22" s="264">
        <v>19617.88</v>
      </c>
      <c r="MA22" s="264">
        <v>18605.823</v>
      </c>
      <c r="MB22" s="265">
        <v>5.4394637635755097E-2</v>
      </c>
      <c r="MC22" s="264">
        <v>228359.87700000001</v>
      </c>
      <c r="MD22" s="264">
        <v>216341.99900000001</v>
      </c>
      <c r="ME22" s="265">
        <v>5.5550369579417801E-2</v>
      </c>
      <c r="MF22" s="264">
        <v>362554.69099999999</v>
      </c>
      <c r="MG22" s="264">
        <v>373385.136</v>
      </c>
      <c r="MH22" s="265">
        <v>-2.9006095732744999E-2</v>
      </c>
      <c r="MI22" s="264">
        <v>362554.69099999999</v>
      </c>
      <c r="MJ22" s="264">
        <v>373385.136</v>
      </c>
      <c r="MK22" s="265">
        <v>-2.9006095732744999E-2</v>
      </c>
      <c r="ML22" s="264">
        <v>4773251.0190000003</v>
      </c>
      <c r="MM22" s="264">
        <v>4531219.5810000002</v>
      </c>
      <c r="MN22" s="265">
        <v>5.3414193171054801E-2</v>
      </c>
      <c r="MO22" s="264">
        <v>769946.93599999999</v>
      </c>
      <c r="MP22" s="264">
        <v>756722.51199999999</v>
      </c>
      <c r="MQ22" s="265">
        <v>1.74759225347321E-2</v>
      </c>
      <c r="MR22" s="264">
        <v>769946.93599999999</v>
      </c>
      <c r="MS22" s="264">
        <v>756722.51199999999</v>
      </c>
      <c r="MT22" s="265">
        <v>1.74759225347321E-2</v>
      </c>
      <c r="MU22" s="264">
        <v>8996685.6390000004</v>
      </c>
      <c r="MV22" s="264">
        <v>8904247.1860000007</v>
      </c>
      <c r="MW22" s="266">
        <v>1.03813889112759E-2</v>
      </c>
      <c r="MX22" s="264">
        <v>20734951.209701002</v>
      </c>
      <c r="MY22" s="264">
        <v>20550294.079928</v>
      </c>
      <c r="MZ22" s="265">
        <v>8.9856198191034797E-3</v>
      </c>
      <c r="NA22" s="264">
        <v>45067032.937253997</v>
      </c>
      <c r="NB22" s="264">
        <v>43754251.102835</v>
      </c>
      <c r="NC22" s="265">
        <v>3.00035265449657E-2</v>
      </c>
      <c r="ND22" s="264">
        <v>259433010.177571</v>
      </c>
      <c r="NE22" s="264">
        <v>249619768.70784</v>
      </c>
      <c r="NF22" s="265">
        <v>3.9312757641469701E-2</v>
      </c>
      <c r="NG22" s="264">
        <v>15355.087</v>
      </c>
      <c r="NH22" s="264">
        <v>15508.661</v>
      </c>
      <c r="NI22" s="265">
        <v>-9.9024667571236801E-3</v>
      </c>
      <c r="NJ22" s="264">
        <v>34529.031000000003</v>
      </c>
      <c r="NK22" s="264">
        <v>32601.703000000001</v>
      </c>
      <c r="NL22" s="265">
        <v>5.9117402547959101E-2</v>
      </c>
      <c r="NM22" s="264">
        <v>208087.26</v>
      </c>
      <c r="NN22" s="264">
        <v>198679.424</v>
      </c>
      <c r="NO22" s="265">
        <v>4.73518385074439E-2</v>
      </c>
      <c r="NP22" s="264">
        <v>16862.589</v>
      </c>
      <c r="NQ22" s="264">
        <v>16301.544</v>
      </c>
      <c r="NR22" s="265">
        <v>3.4416678567379802E-2</v>
      </c>
      <c r="NS22" s="264">
        <v>36480.468999999997</v>
      </c>
      <c r="NT22" s="264">
        <v>34907.366999999998</v>
      </c>
      <c r="NU22" s="265">
        <v>4.5065043146909498E-2</v>
      </c>
      <c r="NV22" s="264">
        <v>228920.92199999999</v>
      </c>
      <c r="NW22" s="264">
        <v>217613.959</v>
      </c>
      <c r="NX22" s="265">
        <v>5.1958812991403799E-2</v>
      </c>
      <c r="NY22" s="264">
        <v>297978.44199999998</v>
      </c>
      <c r="NZ22" s="264">
        <v>329611.92</v>
      </c>
      <c r="OA22" s="265">
        <v>-9.5971887181749801E-2</v>
      </c>
      <c r="OB22" s="264">
        <v>660533.13300000003</v>
      </c>
      <c r="OC22" s="264">
        <v>702997.05599999998</v>
      </c>
      <c r="OD22" s="265">
        <v>-6.0404126358105201E-2</v>
      </c>
      <c r="OE22" s="264">
        <v>4741617.5410000002</v>
      </c>
      <c r="OF22" s="264">
        <v>4565477.8219999997</v>
      </c>
      <c r="OG22" s="265">
        <v>3.8580785159271401E-2</v>
      </c>
      <c r="OH22" s="264">
        <v>678450.77</v>
      </c>
      <c r="OI22" s="264">
        <v>676886.31099999999</v>
      </c>
      <c r="OJ22" s="265">
        <v>2.3112581456829501E-3</v>
      </c>
      <c r="OK22" s="264">
        <v>1448397.706</v>
      </c>
      <c r="OL22" s="264">
        <v>1433608.8230000001</v>
      </c>
      <c r="OM22" s="265">
        <v>1.03158426222938E-2</v>
      </c>
      <c r="ON22" s="264">
        <v>8998250.0979999993</v>
      </c>
      <c r="OO22" s="264">
        <v>8883220.0099999998</v>
      </c>
      <c r="OP22" s="266">
        <v>1.2949143201509101E-2</v>
      </c>
      <c r="OQ22" s="264">
        <v>21925300.650538001</v>
      </c>
      <c r="OR22" s="264">
        <v>22654815.628352001</v>
      </c>
      <c r="OS22" s="265">
        <v>-3.2201320451313999E-2</v>
      </c>
      <c r="OT22" s="264">
        <v>66992333.587792002</v>
      </c>
      <c r="OU22" s="264">
        <v>66409066.731187001</v>
      </c>
      <c r="OV22" s="265">
        <v>8.7829401212032795E-3</v>
      </c>
      <c r="OW22" s="264">
        <v>258703495.19975701</v>
      </c>
      <c r="OX22" s="264">
        <v>251326152.858004</v>
      </c>
      <c r="OY22" s="265">
        <v>2.93536596086801E-2</v>
      </c>
      <c r="OZ22" s="264">
        <v>15696.001</v>
      </c>
      <c r="PA22" s="264">
        <v>16984.402999999998</v>
      </c>
      <c r="PB22" s="265">
        <v>-7.5857950379533703E-2</v>
      </c>
      <c r="PC22" s="264">
        <v>50225.031999999999</v>
      </c>
      <c r="PD22" s="264">
        <v>49586.106</v>
      </c>
      <c r="PE22" s="265">
        <v>1.2885181990293801E-2</v>
      </c>
      <c r="PF22" s="264">
        <v>206798.85800000001</v>
      </c>
      <c r="PG22" s="264">
        <v>200315.06</v>
      </c>
      <c r="PH22" s="265">
        <v>3.2368000688515398E-2</v>
      </c>
      <c r="PI22" s="264">
        <v>17909.438999999998</v>
      </c>
      <c r="PJ22" s="264">
        <v>17234.951000000001</v>
      </c>
      <c r="PK22" s="265">
        <v>3.9134895132570902E-2</v>
      </c>
      <c r="PL22" s="264">
        <v>54389.908000000003</v>
      </c>
      <c r="PM22" s="264">
        <v>52142.317999999999</v>
      </c>
      <c r="PN22" s="265">
        <v>4.3104911446399198E-2</v>
      </c>
      <c r="PO22" s="264">
        <v>229595.41</v>
      </c>
      <c r="PP22" s="264">
        <v>219346.86900000001</v>
      </c>
      <c r="PQ22" s="265">
        <v>4.6722987415881399E-2</v>
      </c>
      <c r="PR22" s="264">
        <v>360830.07900000003</v>
      </c>
      <c r="PS22" s="264">
        <v>341228.57500000001</v>
      </c>
      <c r="PT22" s="265">
        <v>5.7443911313699698E-2</v>
      </c>
      <c r="PU22" s="264">
        <v>1021363.2120000001</v>
      </c>
      <c r="PV22" s="264">
        <v>1044225.6310000001</v>
      </c>
      <c r="PW22" s="265">
        <v>-2.18941369769921E-2</v>
      </c>
      <c r="PX22" s="264">
        <v>4761219.0449999999</v>
      </c>
      <c r="PY22" s="264">
        <v>4585997.1370000001</v>
      </c>
      <c r="PZ22" s="265">
        <v>3.8208028214039402E-2</v>
      </c>
      <c r="QA22" s="264">
        <v>748223.86600000004</v>
      </c>
      <c r="QB22" s="264">
        <v>737382.16799999995</v>
      </c>
      <c r="QC22" s="265">
        <v>1.4702956581396901E-2</v>
      </c>
      <c r="QD22" s="264">
        <v>2196621.5720000002</v>
      </c>
      <c r="QE22" s="264">
        <v>2170990.9909999999</v>
      </c>
      <c r="QF22" s="265">
        <v>1.1805936139879699E-2</v>
      </c>
      <c r="QG22" s="264">
        <v>9009091.7960000001</v>
      </c>
      <c r="QH22" s="264">
        <v>8888384.3100000005</v>
      </c>
      <c r="QI22" s="266">
        <v>1.3580363066007401E-2</v>
      </c>
      <c r="QJ22" s="264">
        <v>19303290.868806001</v>
      </c>
      <c r="QK22" s="264">
        <v>19180038.487396002</v>
      </c>
      <c r="QL22" s="265">
        <v>6.4260758126735203E-3</v>
      </c>
      <c r="QM22" s="264">
        <v>86295624.456597999</v>
      </c>
      <c r="QN22" s="264">
        <v>85589105.218583003</v>
      </c>
      <c r="QO22" s="265">
        <v>8.2547800471875592E-3</v>
      </c>
      <c r="QP22" s="264">
        <v>258826747.58116701</v>
      </c>
      <c r="QQ22" s="264">
        <v>250849620.86590701</v>
      </c>
      <c r="QR22" s="265">
        <v>3.1800433613269098E-2</v>
      </c>
      <c r="QS22" s="264">
        <v>14359.009</v>
      </c>
      <c r="QT22" s="264">
        <v>14961.291999999999</v>
      </c>
      <c r="QU22" s="265">
        <v>-4.0256082161888099E-2</v>
      </c>
      <c r="QV22" s="264">
        <v>64584.040999999997</v>
      </c>
      <c r="QW22" s="264">
        <v>64547.398000000001</v>
      </c>
      <c r="QX22" s="265">
        <v>5.6769135759734903E-4</v>
      </c>
      <c r="QY22" s="264">
        <v>206196.57500000001</v>
      </c>
      <c r="QZ22" s="264">
        <v>199845.484</v>
      </c>
      <c r="RA22" s="265">
        <v>3.1780007598270203E-2</v>
      </c>
      <c r="RB22" s="264">
        <v>16760.776000000002</v>
      </c>
      <c r="RC22" s="264">
        <v>15892.477999999999</v>
      </c>
      <c r="RD22" s="265">
        <v>5.4635784299969001E-2</v>
      </c>
      <c r="RE22" s="264">
        <v>71150.683999999994</v>
      </c>
      <c r="RF22" s="264">
        <v>68034.796000000002</v>
      </c>
      <c r="RG22" s="265">
        <v>4.5798447018199198E-2</v>
      </c>
      <c r="RH22" s="264">
        <v>230463.70800000001</v>
      </c>
      <c r="RI22" s="264">
        <v>219300.84700000001</v>
      </c>
      <c r="RJ22" s="265">
        <v>5.0902042343685103E-2</v>
      </c>
      <c r="RK22" s="264">
        <v>343030.25599999999</v>
      </c>
      <c r="RL22" s="264">
        <v>343173.092</v>
      </c>
      <c r="RM22" s="265">
        <v>-4.1622144430837301E-4</v>
      </c>
      <c r="RN22" s="264">
        <v>1364393.4680000001</v>
      </c>
      <c r="RO22" s="264">
        <v>1387398.723</v>
      </c>
      <c r="RP22" s="265">
        <v>-1.6581574293405101E-2</v>
      </c>
      <c r="RQ22" s="264">
        <v>4761076.2089999998</v>
      </c>
      <c r="RR22" s="264">
        <v>4604565.0439999998</v>
      </c>
      <c r="RS22" s="265">
        <v>3.3990434167922898E-2</v>
      </c>
      <c r="RT22" s="264">
        <v>704541.30599999998</v>
      </c>
      <c r="RU22" s="264">
        <v>697356.80700000003</v>
      </c>
      <c r="RV22" s="265">
        <v>1.0302472031365599E-2</v>
      </c>
      <c r="RW22" s="264">
        <v>2901162.878</v>
      </c>
      <c r="RX22" s="264">
        <v>2868347.798</v>
      </c>
      <c r="RY22" s="265">
        <v>1.14404118018324E-2</v>
      </c>
      <c r="RZ22" s="264">
        <v>9016276.2949999999</v>
      </c>
      <c r="SA22" s="264">
        <v>8872990.4820000008</v>
      </c>
      <c r="SB22" s="266">
        <v>1.6148536763414E-2</v>
      </c>
      <c r="SC22" s="264">
        <v>20753105.338971999</v>
      </c>
      <c r="SD22" s="264">
        <v>19746164.537207998</v>
      </c>
      <c r="SE22" s="265">
        <v>5.09942475090088E-2</v>
      </c>
      <c r="SF22" s="264">
        <v>107048729.79557</v>
      </c>
      <c r="SG22" s="264">
        <v>105335269.75579099</v>
      </c>
      <c r="SH22" s="265">
        <v>1.6266726650546001E-2</v>
      </c>
      <c r="SI22" s="264">
        <v>259833688.38293099</v>
      </c>
      <c r="SJ22" s="264">
        <v>250837497.73295</v>
      </c>
      <c r="SK22" s="265">
        <v>3.5864616460010303E-2</v>
      </c>
      <c r="SL22" s="264">
        <v>14876.409</v>
      </c>
      <c r="SM22" s="264">
        <v>15775.602999999999</v>
      </c>
      <c r="SN22" s="265">
        <v>-5.6999025647387402E-2</v>
      </c>
      <c r="SO22" s="264">
        <v>79460.45</v>
      </c>
      <c r="SP22" s="264">
        <v>80323.001000000004</v>
      </c>
      <c r="SQ22" s="265">
        <v>-1.07385305486782E-2</v>
      </c>
      <c r="SR22" s="264">
        <v>205297.38099999999</v>
      </c>
      <c r="SS22" s="264">
        <v>199669.791</v>
      </c>
      <c r="ST22" s="265">
        <v>2.8184483851139999E-2</v>
      </c>
      <c r="SU22" s="264">
        <v>16901.973999999998</v>
      </c>
      <c r="SV22" s="264">
        <v>17155.347000000002</v>
      </c>
      <c r="SW22" s="265">
        <v>-1.4769331101259499E-2</v>
      </c>
      <c r="SX22" s="264">
        <v>88052.657999999996</v>
      </c>
      <c r="SY22" s="264">
        <v>85190.142999999996</v>
      </c>
      <c r="SZ22" s="265">
        <v>3.36014813356987E-2</v>
      </c>
      <c r="TA22" s="264">
        <v>230210.33499999999</v>
      </c>
      <c r="TB22" s="264">
        <v>219739.12899999999</v>
      </c>
      <c r="TC22" s="265">
        <v>4.7652896630895503E-2</v>
      </c>
      <c r="TD22" s="264">
        <v>381253.06400000001</v>
      </c>
      <c r="TE22" s="264">
        <v>367456.19199999998</v>
      </c>
      <c r="TF22" s="265">
        <v>3.75469846484449E-2</v>
      </c>
      <c r="TG22" s="264">
        <v>1745646.5319999999</v>
      </c>
      <c r="TH22" s="264">
        <v>1754854.915</v>
      </c>
      <c r="TI22" s="265">
        <v>-5.2473756783478296E-3</v>
      </c>
      <c r="TJ22" s="264">
        <v>4774873.0810000002</v>
      </c>
      <c r="TK22" s="264">
        <v>4610082.1689999998</v>
      </c>
      <c r="TL22" s="265">
        <v>3.5745764600058398E-2</v>
      </c>
      <c r="TM22" s="264">
        <v>715233.84</v>
      </c>
      <c r="TN22" s="264">
        <v>712713.723</v>
      </c>
      <c r="TO22" s="265">
        <v>3.5359456660835E-3</v>
      </c>
      <c r="TP22" s="264">
        <v>3616396.7179999999</v>
      </c>
      <c r="TQ22" s="264">
        <v>3581061.5210000002</v>
      </c>
      <c r="TR22" s="265">
        <v>9.8672409822584996E-3</v>
      </c>
      <c r="TS22" s="264">
        <v>9018796.4120000005</v>
      </c>
      <c r="TT22" s="264">
        <v>8869561.4859999996</v>
      </c>
      <c r="TU22" s="266">
        <v>1.6825513441172699E-2</v>
      </c>
      <c r="TV22" s="264">
        <v>22993311.329994</v>
      </c>
      <c r="TW22" s="264">
        <v>21908080.579335999</v>
      </c>
      <c r="TX22" s="265">
        <v>4.9535638082397901E-2</v>
      </c>
      <c r="TY22" s="264">
        <v>130042041.12556399</v>
      </c>
      <c r="TZ22" s="264">
        <v>127243350.335127</v>
      </c>
      <c r="UA22" s="265">
        <v>2.1994790164405101E-2</v>
      </c>
      <c r="UB22" s="264">
        <v>260918919.133589</v>
      </c>
      <c r="UC22" s="264">
        <v>252706531.792887</v>
      </c>
      <c r="UD22" s="265">
        <v>3.2497724860680498E-2</v>
      </c>
      <c r="UE22" s="264">
        <v>16643.682000000001</v>
      </c>
      <c r="UF22" s="264">
        <v>16861.954000000002</v>
      </c>
      <c r="UG22" s="265">
        <v>-1.2944644493752299E-2</v>
      </c>
      <c r="UH22" s="264">
        <v>96104.131999999998</v>
      </c>
      <c r="UI22" s="264">
        <v>97184.955000000002</v>
      </c>
      <c r="UJ22" s="265">
        <v>-1.11212995879867E-2</v>
      </c>
      <c r="UK22" s="264">
        <v>205079.109</v>
      </c>
      <c r="UL22" s="264">
        <v>200605.649</v>
      </c>
      <c r="UM22" s="265">
        <v>2.22997708304816E-2</v>
      </c>
      <c r="UN22" s="264">
        <v>20060.654999999999</v>
      </c>
      <c r="UO22" s="264">
        <v>20078.659</v>
      </c>
      <c r="UP22" s="265">
        <v>-8.9667342824044198E-4</v>
      </c>
      <c r="UQ22" s="264">
        <v>108113.31299999999</v>
      </c>
      <c r="UR22" s="264">
        <v>105268.802</v>
      </c>
      <c r="US22" s="265">
        <v>2.7021405639250901E-2</v>
      </c>
      <c r="UT22" s="264">
        <v>230192.33100000001</v>
      </c>
      <c r="UU22" s="264">
        <v>222758.6</v>
      </c>
      <c r="UV22" s="265">
        <v>3.3371241334790198E-2</v>
      </c>
      <c r="UW22" s="264">
        <v>464767.35100000002</v>
      </c>
      <c r="UX22" s="264">
        <v>454994.67200000002</v>
      </c>
      <c r="UY22" s="265">
        <v>2.1478666897444602E-2</v>
      </c>
      <c r="UZ22" s="264">
        <v>2210413.8829999999</v>
      </c>
      <c r="VA22" s="264">
        <v>2209849.5869999998</v>
      </c>
      <c r="VB22" s="265">
        <v>2.5535493606450402E-4</v>
      </c>
      <c r="VC22" s="264">
        <v>4784645.76</v>
      </c>
      <c r="VD22" s="264">
        <v>4669351.301</v>
      </c>
      <c r="VE22" s="265">
        <v>2.4691750859548101E-2</v>
      </c>
      <c r="VF22" s="264">
        <v>719819.62399999995</v>
      </c>
      <c r="VG22" s="264">
        <v>706807.723</v>
      </c>
      <c r="VH22" s="265">
        <v>1.8409392790406699E-2</v>
      </c>
      <c r="VI22" s="264">
        <v>4336216.3420000002</v>
      </c>
      <c r="VJ22" s="264">
        <v>4287869.2439999999</v>
      </c>
      <c r="VK22" s="265">
        <v>1.12753200363216E-2</v>
      </c>
      <c r="VL22" s="264">
        <v>9031808.3129999992</v>
      </c>
      <c r="VM22" s="264">
        <v>8875858.3959999997</v>
      </c>
      <c r="VN22" s="266">
        <v>1.7570122239701499E-2</v>
      </c>
    </row>
    <row r="23" spans="1:586">
      <c r="A23" s="267" t="s">
        <v>78</v>
      </c>
      <c r="B23" s="261">
        <v>477091.774584</v>
      </c>
      <c r="C23" s="261">
        <v>503334.26956500002</v>
      </c>
      <c r="D23" s="262">
        <v>-5.2137310268342701E-2</v>
      </c>
      <c r="E23" s="261">
        <v>2903289.1472370001</v>
      </c>
      <c r="F23" s="261">
        <v>3181066.7410180001</v>
      </c>
      <c r="G23" s="262">
        <v>-8.7322152094207905E-2</v>
      </c>
      <c r="H23" s="261">
        <v>5180642.2929480001</v>
      </c>
      <c r="I23" s="261">
        <v>5658907.3743780004</v>
      </c>
      <c r="J23" s="262">
        <v>-8.4515446143447207E-2</v>
      </c>
      <c r="K23" s="261">
        <v>0</v>
      </c>
      <c r="L23" s="261">
        <v>0</v>
      </c>
      <c r="M23" s="262">
        <v>0</v>
      </c>
      <c r="N23" s="261">
        <v>0</v>
      </c>
      <c r="O23" s="261">
        <v>0</v>
      </c>
      <c r="P23" s="262">
        <v>0</v>
      </c>
      <c r="Q23" s="261">
        <v>0</v>
      </c>
      <c r="R23" s="261">
        <v>0</v>
      </c>
      <c r="S23" s="262">
        <v>0</v>
      </c>
      <c r="T23" s="261">
        <v>0</v>
      </c>
      <c r="U23" s="261">
        <v>0</v>
      </c>
      <c r="V23" s="262">
        <v>0</v>
      </c>
      <c r="W23" s="261">
        <v>0</v>
      </c>
      <c r="X23" s="261">
        <v>0</v>
      </c>
      <c r="Y23" s="262">
        <v>0</v>
      </c>
      <c r="Z23" s="261">
        <v>0</v>
      </c>
      <c r="AA23" s="261">
        <v>0</v>
      </c>
      <c r="AB23" s="262">
        <v>0</v>
      </c>
      <c r="AC23" s="261">
        <v>0</v>
      </c>
      <c r="AD23" s="261">
        <v>0</v>
      </c>
      <c r="AE23" s="262">
        <v>0</v>
      </c>
      <c r="AF23" s="261">
        <v>0</v>
      </c>
      <c r="AG23" s="261">
        <v>0</v>
      </c>
      <c r="AH23" s="262">
        <v>0</v>
      </c>
      <c r="AI23" s="261">
        <v>0</v>
      </c>
      <c r="AJ23" s="261">
        <v>0</v>
      </c>
      <c r="AK23" s="262">
        <v>0</v>
      </c>
      <c r="AL23" s="261">
        <v>0</v>
      </c>
      <c r="AM23" s="261">
        <v>0</v>
      </c>
      <c r="AN23" s="262">
        <v>0</v>
      </c>
      <c r="AO23" s="261">
        <v>0</v>
      </c>
      <c r="AP23" s="261">
        <v>0</v>
      </c>
      <c r="AQ23" s="262">
        <v>0</v>
      </c>
      <c r="AR23" s="261">
        <v>0</v>
      </c>
      <c r="AS23" s="261">
        <v>0</v>
      </c>
      <c r="AT23" s="263">
        <v>0</v>
      </c>
      <c r="AU23" s="261">
        <v>534742.21343100001</v>
      </c>
      <c r="AV23" s="261">
        <v>456982.75017200003</v>
      </c>
      <c r="AW23" s="262">
        <v>0.170158421143321</v>
      </c>
      <c r="AX23" s="261">
        <v>3438031.3606679998</v>
      </c>
      <c r="AY23" s="261">
        <v>3638049.49119</v>
      </c>
      <c r="AZ23" s="262">
        <v>-5.4979496844770701E-2</v>
      </c>
      <c r="BA23" s="261">
        <v>5258401.7562070005</v>
      </c>
      <c r="BB23" s="261">
        <v>5798272.7872900004</v>
      </c>
      <c r="BC23" s="262">
        <v>-9.3108939659826695E-2</v>
      </c>
      <c r="BD23" s="261">
        <v>0</v>
      </c>
      <c r="BE23" s="261">
        <v>0</v>
      </c>
      <c r="BF23" s="262">
        <v>0</v>
      </c>
      <c r="BG23" s="261">
        <v>0</v>
      </c>
      <c r="BH23" s="261">
        <v>0</v>
      </c>
      <c r="BI23" s="262">
        <v>0</v>
      </c>
      <c r="BJ23" s="261">
        <v>0</v>
      </c>
      <c r="BK23" s="261">
        <v>0</v>
      </c>
      <c r="BL23" s="262">
        <v>0</v>
      </c>
      <c r="BM23" s="261">
        <v>0</v>
      </c>
      <c r="BN23" s="261">
        <v>0</v>
      </c>
      <c r="BO23" s="262">
        <v>0</v>
      </c>
      <c r="BP23" s="261">
        <v>0</v>
      </c>
      <c r="BQ23" s="261">
        <v>0</v>
      </c>
      <c r="BR23" s="262">
        <v>0</v>
      </c>
      <c r="BS23" s="261">
        <v>0</v>
      </c>
      <c r="BT23" s="261">
        <v>0</v>
      </c>
      <c r="BU23" s="262">
        <v>0</v>
      </c>
      <c r="BV23" s="261">
        <v>0</v>
      </c>
      <c r="BW23" s="261">
        <v>0</v>
      </c>
      <c r="BX23" s="262">
        <v>0</v>
      </c>
      <c r="BY23" s="261">
        <v>0</v>
      </c>
      <c r="BZ23" s="261">
        <v>0</v>
      </c>
      <c r="CA23" s="262">
        <v>0</v>
      </c>
      <c r="CB23" s="261">
        <v>0</v>
      </c>
      <c r="CC23" s="261">
        <v>0</v>
      </c>
      <c r="CD23" s="262">
        <v>0</v>
      </c>
      <c r="CE23" s="261">
        <v>0</v>
      </c>
      <c r="CF23" s="261">
        <v>0</v>
      </c>
      <c r="CG23" s="262">
        <v>0</v>
      </c>
      <c r="CH23" s="261">
        <v>0</v>
      </c>
      <c r="CI23" s="261">
        <v>0</v>
      </c>
      <c r="CJ23" s="262">
        <v>0</v>
      </c>
      <c r="CK23" s="261">
        <v>0</v>
      </c>
      <c r="CL23" s="261">
        <v>0</v>
      </c>
      <c r="CM23" s="263">
        <v>0</v>
      </c>
      <c r="CN23" s="261">
        <v>575769.65884199995</v>
      </c>
      <c r="CO23" s="261">
        <v>426903.96357600001</v>
      </c>
      <c r="CP23" s="262">
        <v>0.34871003309271897</v>
      </c>
      <c r="CQ23" s="261">
        <v>4013801.01951</v>
      </c>
      <c r="CR23" s="261">
        <v>4064953.4547660002</v>
      </c>
      <c r="CS23" s="262">
        <v>-1.2583768996426201E-2</v>
      </c>
      <c r="CT23" s="261">
        <v>5407267.4514730005</v>
      </c>
      <c r="CU23" s="261">
        <v>5807960.6987739997</v>
      </c>
      <c r="CV23" s="262">
        <v>-6.8990351016938095E-2</v>
      </c>
      <c r="CW23" s="261">
        <v>0</v>
      </c>
      <c r="CX23" s="261">
        <v>0</v>
      </c>
      <c r="CY23" s="262">
        <v>0</v>
      </c>
      <c r="CZ23" s="261">
        <v>0</v>
      </c>
      <c r="DA23" s="261">
        <v>0</v>
      </c>
      <c r="DB23" s="262">
        <v>0</v>
      </c>
      <c r="DC23" s="261">
        <v>0</v>
      </c>
      <c r="DD23" s="261">
        <v>0</v>
      </c>
      <c r="DE23" s="262">
        <v>0</v>
      </c>
      <c r="DF23" s="261">
        <v>0</v>
      </c>
      <c r="DG23" s="261">
        <v>0</v>
      </c>
      <c r="DH23" s="262">
        <v>0</v>
      </c>
      <c r="DI23" s="261">
        <v>0</v>
      </c>
      <c r="DJ23" s="261">
        <v>0</v>
      </c>
      <c r="DK23" s="262">
        <v>0</v>
      </c>
      <c r="DL23" s="261">
        <v>0</v>
      </c>
      <c r="DM23" s="261">
        <v>0</v>
      </c>
      <c r="DN23" s="262">
        <v>0</v>
      </c>
      <c r="DO23" s="261">
        <v>0</v>
      </c>
      <c r="DP23" s="261">
        <v>0</v>
      </c>
      <c r="DQ23" s="262">
        <v>0</v>
      </c>
      <c r="DR23" s="261">
        <v>0</v>
      </c>
      <c r="DS23" s="261">
        <v>0</v>
      </c>
      <c r="DT23" s="262">
        <v>0</v>
      </c>
      <c r="DU23" s="261">
        <v>0</v>
      </c>
      <c r="DV23" s="261">
        <v>0</v>
      </c>
      <c r="DW23" s="262">
        <v>0</v>
      </c>
      <c r="DX23" s="261">
        <v>0</v>
      </c>
      <c r="DY23" s="261">
        <v>0</v>
      </c>
      <c r="DZ23" s="262">
        <v>0</v>
      </c>
      <c r="EA23" s="261">
        <v>0</v>
      </c>
      <c r="EB23" s="261">
        <v>0</v>
      </c>
      <c r="EC23" s="262">
        <v>0</v>
      </c>
      <c r="ED23" s="261">
        <v>0</v>
      </c>
      <c r="EE23" s="261">
        <v>0</v>
      </c>
      <c r="EF23" s="263">
        <v>0</v>
      </c>
      <c r="EG23" s="261">
        <v>539292.46900000004</v>
      </c>
      <c r="EH23" s="261">
        <v>423176.67913900001</v>
      </c>
      <c r="EI23" s="262">
        <v>0.274390805507644</v>
      </c>
      <c r="EJ23" s="261">
        <v>4553093.4885099996</v>
      </c>
      <c r="EK23" s="261">
        <v>4488130.1339050001</v>
      </c>
      <c r="EL23" s="262">
        <v>1.44744810570982E-2</v>
      </c>
      <c r="EM23" s="261">
        <v>5523383.2413339997</v>
      </c>
      <c r="EN23" s="261">
        <v>5879217.9183449997</v>
      </c>
      <c r="EO23" s="262">
        <v>-6.0524151673419797E-2</v>
      </c>
      <c r="EP23" s="261">
        <v>0</v>
      </c>
      <c r="EQ23" s="261">
        <v>0</v>
      </c>
      <c r="ER23" s="262">
        <v>0</v>
      </c>
      <c r="ES23" s="261">
        <v>0</v>
      </c>
      <c r="ET23" s="261">
        <v>0</v>
      </c>
      <c r="EU23" s="262">
        <v>0</v>
      </c>
      <c r="EV23" s="261">
        <v>0</v>
      </c>
      <c r="EW23" s="261">
        <v>0</v>
      </c>
      <c r="EX23" s="262">
        <v>0</v>
      </c>
      <c r="EY23" s="261">
        <v>0</v>
      </c>
      <c r="EZ23" s="261">
        <v>0</v>
      </c>
      <c r="FA23" s="262">
        <v>0</v>
      </c>
      <c r="FB23" s="261">
        <v>0</v>
      </c>
      <c r="FC23" s="261">
        <v>0</v>
      </c>
      <c r="FD23" s="262">
        <v>0</v>
      </c>
      <c r="FE23" s="261">
        <v>0</v>
      </c>
      <c r="FF23" s="261">
        <v>0</v>
      </c>
      <c r="FG23" s="262">
        <v>0</v>
      </c>
      <c r="FH23" s="261">
        <v>0</v>
      </c>
      <c r="FI23" s="261">
        <v>0</v>
      </c>
      <c r="FJ23" s="262">
        <v>0</v>
      </c>
      <c r="FK23" s="261">
        <v>0</v>
      </c>
      <c r="FL23" s="261">
        <v>0</v>
      </c>
      <c r="FM23" s="262">
        <v>0</v>
      </c>
      <c r="FN23" s="261">
        <v>0</v>
      </c>
      <c r="FO23" s="261">
        <v>0</v>
      </c>
      <c r="FP23" s="262">
        <v>0</v>
      </c>
      <c r="FQ23" s="261">
        <v>0</v>
      </c>
      <c r="FR23" s="261">
        <v>0</v>
      </c>
      <c r="FS23" s="262">
        <v>0</v>
      </c>
      <c r="FT23" s="261">
        <v>0</v>
      </c>
      <c r="FU23" s="261">
        <v>0</v>
      </c>
      <c r="FV23" s="262">
        <v>0</v>
      </c>
      <c r="FW23" s="261">
        <v>0</v>
      </c>
      <c r="FX23" s="261">
        <v>0</v>
      </c>
      <c r="FY23" s="263">
        <v>0</v>
      </c>
      <c r="FZ23" s="261">
        <v>493897.825564</v>
      </c>
      <c r="GA23" s="261">
        <v>341078.52178100002</v>
      </c>
      <c r="GB23" s="262">
        <v>0.44804727950920997</v>
      </c>
      <c r="GC23" s="261">
        <v>5046991.3140740003</v>
      </c>
      <c r="GD23" s="261">
        <v>4829208.6556860004</v>
      </c>
      <c r="GE23" s="262">
        <v>4.5096965965961897E-2</v>
      </c>
      <c r="GF23" s="261">
        <v>5676202.5451170001</v>
      </c>
      <c r="GG23" s="261">
        <v>5725020.8861959996</v>
      </c>
      <c r="GH23" s="262">
        <v>-8.5271900399016502E-3</v>
      </c>
      <c r="GI23" s="261">
        <v>0</v>
      </c>
      <c r="GJ23" s="261">
        <v>0</v>
      </c>
      <c r="GK23" s="262">
        <v>0</v>
      </c>
      <c r="GL23" s="261">
        <v>0</v>
      </c>
      <c r="GM23" s="261">
        <v>0</v>
      </c>
      <c r="GN23" s="262">
        <v>0</v>
      </c>
      <c r="GO23" s="261">
        <v>0</v>
      </c>
      <c r="GP23" s="261">
        <v>0</v>
      </c>
      <c r="GQ23" s="262">
        <v>0</v>
      </c>
      <c r="GR23" s="261">
        <v>0</v>
      </c>
      <c r="GS23" s="261">
        <v>0</v>
      </c>
      <c r="GT23" s="262">
        <v>0</v>
      </c>
      <c r="GU23" s="261">
        <v>0</v>
      </c>
      <c r="GV23" s="261">
        <v>0</v>
      </c>
      <c r="GW23" s="262">
        <v>0</v>
      </c>
      <c r="GX23" s="261">
        <v>0</v>
      </c>
      <c r="GY23" s="261">
        <v>0</v>
      </c>
      <c r="GZ23" s="262">
        <v>0</v>
      </c>
      <c r="HA23" s="261">
        <v>0</v>
      </c>
      <c r="HB23" s="261">
        <v>0</v>
      </c>
      <c r="HC23" s="262">
        <v>0</v>
      </c>
      <c r="HD23" s="261">
        <v>0</v>
      </c>
      <c r="HE23" s="261">
        <v>0</v>
      </c>
      <c r="HF23" s="262">
        <v>0</v>
      </c>
      <c r="HG23" s="261">
        <v>0</v>
      </c>
      <c r="HH23" s="261">
        <v>0</v>
      </c>
      <c r="HI23" s="262">
        <v>0</v>
      </c>
      <c r="HJ23" s="261">
        <v>0</v>
      </c>
      <c r="HK23" s="261">
        <v>0</v>
      </c>
      <c r="HL23" s="262">
        <v>0</v>
      </c>
      <c r="HM23" s="261">
        <v>0</v>
      </c>
      <c r="HN23" s="261">
        <v>0</v>
      </c>
      <c r="HO23" s="262">
        <v>0</v>
      </c>
      <c r="HP23" s="261">
        <v>0</v>
      </c>
      <c r="HQ23" s="261">
        <v>0</v>
      </c>
      <c r="HR23" s="263">
        <v>0</v>
      </c>
      <c r="HS23" s="261">
        <v>465338.45244800003</v>
      </c>
      <c r="HT23" s="261">
        <v>269729.90306799999</v>
      </c>
      <c r="HU23" s="262">
        <v>0.72520157073828895</v>
      </c>
      <c r="HV23" s="261">
        <v>5512329.7665219996</v>
      </c>
      <c r="HW23" s="261">
        <v>5098938.5587539999</v>
      </c>
      <c r="HX23" s="262">
        <v>8.1073973142562802E-2</v>
      </c>
      <c r="HY23" s="261">
        <v>5871811.0944969999</v>
      </c>
      <c r="HZ23" s="261">
        <v>5544242.4480760004</v>
      </c>
      <c r="IA23" s="262">
        <v>5.9082669902842097E-2</v>
      </c>
      <c r="IB23" s="261">
        <v>0</v>
      </c>
      <c r="IC23" s="261">
        <v>0</v>
      </c>
      <c r="ID23" s="262">
        <v>0</v>
      </c>
      <c r="IE23" s="261">
        <v>0</v>
      </c>
      <c r="IF23" s="261">
        <v>0</v>
      </c>
      <c r="IG23" s="262">
        <v>0</v>
      </c>
      <c r="IH23" s="261">
        <v>0</v>
      </c>
      <c r="II23" s="261">
        <v>0</v>
      </c>
      <c r="IJ23" s="262">
        <v>0</v>
      </c>
      <c r="IK23" s="261">
        <v>0</v>
      </c>
      <c r="IL23" s="261">
        <v>0</v>
      </c>
      <c r="IM23" s="262">
        <v>0</v>
      </c>
      <c r="IN23" s="261">
        <v>0</v>
      </c>
      <c r="IO23" s="261">
        <v>0</v>
      </c>
      <c r="IP23" s="262">
        <v>0</v>
      </c>
      <c r="IQ23" s="261">
        <v>0</v>
      </c>
      <c r="IR23" s="261">
        <v>0</v>
      </c>
      <c r="IS23" s="262">
        <v>0</v>
      </c>
      <c r="IT23" s="261">
        <v>0</v>
      </c>
      <c r="IU23" s="261">
        <v>0</v>
      </c>
      <c r="IV23" s="262">
        <v>0</v>
      </c>
      <c r="IW23" s="261">
        <v>0</v>
      </c>
      <c r="IX23" s="261">
        <v>0</v>
      </c>
      <c r="IY23" s="262">
        <v>0</v>
      </c>
      <c r="IZ23" s="261">
        <v>0</v>
      </c>
      <c r="JA23" s="261">
        <v>0</v>
      </c>
      <c r="JB23" s="262">
        <v>0</v>
      </c>
      <c r="JC23" s="261">
        <v>0</v>
      </c>
      <c r="JD23" s="261">
        <v>0</v>
      </c>
      <c r="JE23" s="262">
        <v>0</v>
      </c>
      <c r="JF23" s="261">
        <v>0</v>
      </c>
      <c r="JG23" s="261">
        <v>0</v>
      </c>
      <c r="JH23" s="262">
        <v>0</v>
      </c>
      <c r="JI23" s="261">
        <v>0</v>
      </c>
      <c r="JJ23" s="261">
        <v>0</v>
      </c>
      <c r="JK23" s="263">
        <v>0</v>
      </c>
      <c r="JL23" s="261">
        <v>373691.896052</v>
      </c>
      <c r="JM23" s="261">
        <v>359481.32797500002</v>
      </c>
      <c r="JN23" s="262">
        <v>3.9530754370608802E-2</v>
      </c>
      <c r="JO23" s="261">
        <v>5886021.6625739997</v>
      </c>
      <c r="JP23" s="261">
        <v>5458419.8867290001</v>
      </c>
      <c r="JQ23" s="262">
        <v>7.8338014428795302E-2</v>
      </c>
      <c r="JR23" s="261">
        <v>5886021.6625739997</v>
      </c>
      <c r="JS23" s="261">
        <v>5458419.8867290001</v>
      </c>
      <c r="JT23" s="262">
        <v>7.8338014428795302E-2</v>
      </c>
      <c r="JU23" s="261">
        <v>0</v>
      </c>
      <c r="JV23" s="261">
        <v>0</v>
      </c>
      <c r="JW23" s="262">
        <v>0</v>
      </c>
      <c r="JX23" s="261">
        <v>0</v>
      </c>
      <c r="JY23" s="261">
        <v>0</v>
      </c>
      <c r="JZ23" s="262">
        <v>0</v>
      </c>
      <c r="KA23" s="261">
        <v>0</v>
      </c>
      <c r="KB23" s="261">
        <v>0</v>
      </c>
      <c r="KC23" s="262">
        <v>0</v>
      </c>
      <c r="KD23" s="261">
        <v>0</v>
      </c>
      <c r="KE23" s="261">
        <v>0</v>
      </c>
      <c r="KF23" s="262">
        <v>0</v>
      </c>
      <c r="KG23" s="261">
        <v>0</v>
      </c>
      <c r="KH23" s="261">
        <v>0</v>
      </c>
      <c r="KI23" s="262">
        <v>0</v>
      </c>
      <c r="KJ23" s="261">
        <v>0</v>
      </c>
      <c r="KK23" s="261">
        <v>0</v>
      </c>
      <c r="KL23" s="262">
        <v>0</v>
      </c>
      <c r="KM23" s="261">
        <v>0</v>
      </c>
      <c r="KN23" s="261">
        <v>0</v>
      </c>
      <c r="KO23" s="262">
        <v>0</v>
      </c>
      <c r="KP23" s="261">
        <v>0</v>
      </c>
      <c r="KQ23" s="261">
        <v>0</v>
      </c>
      <c r="KR23" s="262">
        <v>0</v>
      </c>
      <c r="KS23" s="261">
        <v>0</v>
      </c>
      <c r="KT23" s="261">
        <v>0</v>
      </c>
      <c r="KU23" s="262">
        <v>0</v>
      </c>
      <c r="KV23" s="261">
        <v>0</v>
      </c>
      <c r="KW23" s="261">
        <v>0</v>
      </c>
      <c r="KX23" s="262">
        <v>0</v>
      </c>
      <c r="KY23" s="261">
        <v>0</v>
      </c>
      <c r="KZ23" s="261">
        <v>0</v>
      </c>
      <c r="LA23" s="262">
        <v>0</v>
      </c>
      <c r="LB23" s="261">
        <v>0</v>
      </c>
      <c r="LC23" s="261">
        <v>0</v>
      </c>
      <c r="LD23" s="263">
        <v>0</v>
      </c>
      <c r="LE23" s="261">
        <v>432588.89631099999</v>
      </c>
      <c r="LF23" s="261">
        <v>420383.07831700001</v>
      </c>
      <c r="LG23" s="262">
        <v>2.9034988855559701E-2</v>
      </c>
      <c r="LH23" s="261">
        <v>432588.89631099999</v>
      </c>
      <c r="LI23" s="261">
        <v>420383.07831700001</v>
      </c>
      <c r="LJ23" s="262">
        <v>2.9034988855559701E-2</v>
      </c>
      <c r="LK23" s="261">
        <v>5898227.4805680001</v>
      </c>
      <c r="LL23" s="261">
        <v>5427226.8529030001</v>
      </c>
      <c r="LM23" s="262">
        <v>8.6784768801964507E-2</v>
      </c>
      <c r="LN23" s="261">
        <v>0</v>
      </c>
      <c r="LO23" s="261">
        <v>0</v>
      </c>
      <c r="LP23" s="262">
        <v>0</v>
      </c>
      <c r="LQ23" s="261">
        <v>0</v>
      </c>
      <c r="LR23" s="261">
        <v>0</v>
      </c>
      <c r="LS23" s="262">
        <v>0</v>
      </c>
      <c r="LT23" s="261">
        <v>0</v>
      </c>
      <c r="LU23" s="261">
        <v>0</v>
      </c>
      <c r="LV23" s="262">
        <v>0</v>
      </c>
      <c r="LW23" s="261">
        <v>0</v>
      </c>
      <c r="LX23" s="261">
        <v>0</v>
      </c>
      <c r="LY23" s="262">
        <v>0</v>
      </c>
      <c r="LZ23" s="261">
        <v>0</v>
      </c>
      <c r="MA23" s="261">
        <v>0</v>
      </c>
      <c r="MB23" s="262">
        <v>0</v>
      </c>
      <c r="MC23" s="261">
        <v>0</v>
      </c>
      <c r="MD23" s="261">
        <v>0</v>
      </c>
      <c r="ME23" s="262">
        <v>0</v>
      </c>
      <c r="MF23" s="261">
        <v>0</v>
      </c>
      <c r="MG23" s="261">
        <v>0</v>
      </c>
      <c r="MH23" s="262">
        <v>0</v>
      </c>
      <c r="MI23" s="261">
        <v>0</v>
      </c>
      <c r="MJ23" s="261">
        <v>0</v>
      </c>
      <c r="MK23" s="262">
        <v>0</v>
      </c>
      <c r="ML23" s="261">
        <v>0</v>
      </c>
      <c r="MM23" s="261">
        <v>0</v>
      </c>
      <c r="MN23" s="262">
        <v>0</v>
      </c>
      <c r="MO23" s="261">
        <v>0</v>
      </c>
      <c r="MP23" s="261">
        <v>0</v>
      </c>
      <c r="MQ23" s="262">
        <v>0</v>
      </c>
      <c r="MR23" s="261">
        <v>0</v>
      </c>
      <c r="MS23" s="261">
        <v>0</v>
      </c>
      <c r="MT23" s="262">
        <v>0</v>
      </c>
      <c r="MU23" s="261">
        <v>0</v>
      </c>
      <c r="MV23" s="261">
        <v>0</v>
      </c>
      <c r="MW23" s="263">
        <v>0</v>
      </c>
      <c r="MX23" s="261">
        <v>478853.064021</v>
      </c>
      <c r="MY23" s="261">
        <v>369208.11204799998</v>
      </c>
      <c r="MZ23" s="262">
        <v>0.29697330149329298</v>
      </c>
      <c r="NA23" s="261">
        <v>911441.96033200005</v>
      </c>
      <c r="NB23" s="261">
        <v>789591.19036500005</v>
      </c>
      <c r="NC23" s="262">
        <v>0.15432133926250199</v>
      </c>
      <c r="ND23" s="261">
        <v>6007872.4325409997</v>
      </c>
      <c r="NE23" s="261">
        <v>5257025.414907</v>
      </c>
      <c r="NF23" s="262">
        <v>0.14282735166257199</v>
      </c>
      <c r="NG23" s="261">
        <v>0</v>
      </c>
      <c r="NH23" s="261">
        <v>0</v>
      </c>
      <c r="NI23" s="262">
        <v>0</v>
      </c>
      <c r="NJ23" s="261">
        <v>0</v>
      </c>
      <c r="NK23" s="261">
        <v>0</v>
      </c>
      <c r="NL23" s="262">
        <v>0</v>
      </c>
      <c r="NM23" s="261">
        <v>0</v>
      </c>
      <c r="NN23" s="261">
        <v>0</v>
      </c>
      <c r="NO23" s="262">
        <v>0</v>
      </c>
      <c r="NP23" s="261">
        <v>0</v>
      </c>
      <c r="NQ23" s="261">
        <v>0</v>
      </c>
      <c r="NR23" s="262">
        <v>0</v>
      </c>
      <c r="NS23" s="261">
        <v>0</v>
      </c>
      <c r="NT23" s="261">
        <v>0</v>
      </c>
      <c r="NU23" s="262">
        <v>0</v>
      </c>
      <c r="NV23" s="261">
        <v>0</v>
      </c>
      <c r="NW23" s="261">
        <v>0</v>
      </c>
      <c r="NX23" s="262">
        <v>0</v>
      </c>
      <c r="NY23" s="261">
        <v>0</v>
      </c>
      <c r="NZ23" s="261">
        <v>0</v>
      </c>
      <c r="OA23" s="262">
        <v>0</v>
      </c>
      <c r="OB23" s="261">
        <v>0</v>
      </c>
      <c r="OC23" s="261">
        <v>0</v>
      </c>
      <c r="OD23" s="262">
        <v>0</v>
      </c>
      <c r="OE23" s="261">
        <v>0</v>
      </c>
      <c r="OF23" s="261">
        <v>0</v>
      </c>
      <c r="OG23" s="262">
        <v>0</v>
      </c>
      <c r="OH23" s="261">
        <v>0</v>
      </c>
      <c r="OI23" s="261">
        <v>0</v>
      </c>
      <c r="OJ23" s="262">
        <v>0</v>
      </c>
      <c r="OK23" s="261">
        <v>0</v>
      </c>
      <c r="OL23" s="261">
        <v>0</v>
      </c>
      <c r="OM23" s="262">
        <v>0</v>
      </c>
      <c r="ON23" s="261">
        <v>0</v>
      </c>
      <c r="OO23" s="261">
        <v>0</v>
      </c>
      <c r="OP23" s="263">
        <v>0</v>
      </c>
      <c r="OQ23" s="261">
        <v>592492.12291899999</v>
      </c>
      <c r="OR23" s="261">
        <v>426792.56139599998</v>
      </c>
      <c r="OS23" s="262">
        <v>0.388243789865999</v>
      </c>
      <c r="OT23" s="261">
        <v>1503934.0832509999</v>
      </c>
      <c r="OU23" s="261">
        <v>1216383.7517609999</v>
      </c>
      <c r="OV23" s="262">
        <v>0.23639770843182001</v>
      </c>
      <c r="OW23" s="261">
        <v>6173571.9940640004</v>
      </c>
      <c r="OX23" s="261">
        <v>5107238.0403469997</v>
      </c>
      <c r="OY23" s="262">
        <v>0.208788771013413</v>
      </c>
      <c r="OZ23" s="261">
        <v>0</v>
      </c>
      <c r="PA23" s="261">
        <v>0</v>
      </c>
      <c r="PB23" s="262">
        <v>0</v>
      </c>
      <c r="PC23" s="261">
        <v>0</v>
      </c>
      <c r="PD23" s="261">
        <v>0</v>
      </c>
      <c r="PE23" s="262">
        <v>0</v>
      </c>
      <c r="PF23" s="261">
        <v>0</v>
      </c>
      <c r="PG23" s="261">
        <v>0</v>
      </c>
      <c r="PH23" s="262">
        <v>0</v>
      </c>
      <c r="PI23" s="261">
        <v>0</v>
      </c>
      <c r="PJ23" s="261">
        <v>0</v>
      </c>
      <c r="PK23" s="262">
        <v>0</v>
      </c>
      <c r="PL23" s="261">
        <v>0</v>
      </c>
      <c r="PM23" s="261">
        <v>0</v>
      </c>
      <c r="PN23" s="262">
        <v>0</v>
      </c>
      <c r="PO23" s="261">
        <v>0</v>
      </c>
      <c r="PP23" s="261">
        <v>0</v>
      </c>
      <c r="PQ23" s="262">
        <v>0</v>
      </c>
      <c r="PR23" s="261">
        <v>0</v>
      </c>
      <c r="PS23" s="261">
        <v>0</v>
      </c>
      <c r="PT23" s="262">
        <v>0</v>
      </c>
      <c r="PU23" s="261">
        <v>0</v>
      </c>
      <c r="PV23" s="261">
        <v>0</v>
      </c>
      <c r="PW23" s="262">
        <v>0</v>
      </c>
      <c r="PX23" s="261">
        <v>0</v>
      </c>
      <c r="PY23" s="261">
        <v>0</v>
      </c>
      <c r="PZ23" s="262">
        <v>0</v>
      </c>
      <c r="QA23" s="261">
        <v>0</v>
      </c>
      <c r="QB23" s="261">
        <v>0</v>
      </c>
      <c r="QC23" s="262">
        <v>0</v>
      </c>
      <c r="QD23" s="261">
        <v>0</v>
      </c>
      <c r="QE23" s="261">
        <v>0</v>
      </c>
      <c r="QF23" s="262">
        <v>0</v>
      </c>
      <c r="QG23" s="261">
        <v>0</v>
      </c>
      <c r="QH23" s="261">
        <v>0</v>
      </c>
      <c r="QI23" s="263">
        <v>0</v>
      </c>
      <c r="QJ23" s="261">
        <v>714934.59475699998</v>
      </c>
      <c r="QK23" s="261">
        <v>577095.96771600004</v>
      </c>
      <c r="QL23" s="262">
        <v>0.23884870931697999</v>
      </c>
      <c r="QM23" s="261">
        <v>2218868.6780079999</v>
      </c>
      <c r="QN23" s="261">
        <v>1793479.7194769999</v>
      </c>
      <c r="QO23" s="262">
        <v>0.23718637791736399</v>
      </c>
      <c r="QP23" s="261">
        <v>6311410.6211050004</v>
      </c>
      <c r="QQ23" s="261">
        <v>5207528.2228760002</v>
      </c>
      <c r="QR23" s="262">
        <v>0.21197818830434501</v>
      </c>
      <c r="QS23" s="261">
        <v>0</v>
      </c>
      <c r="QT23" s="261">
        <v>0</v>
      </c>
      <c r="QU23" s="262">
        <v>0</v>
      </c>
      <c r="QV23" s="261">
        <v>0</v>
      </c>
      <c r="QW23" s="261">
        <v>0</v>
      </c>
      <c r="QX23" s="262">
        <v>0</v>
      </c>
      <c r="QY23" s="261">
        <v>0</v>
      </c>
      <c r="QZ23" s="261">
        <v>0</v>
      </c>
      <c r="RA23" s="262">
        <v>0</v>
      </c>
      <c r="RB23" s="261">
        <v>0</v>
      </c>
      <c r="RC23" s="261">
        <v>0</v>
      </c>
      <c r="RD23" s="262">
        <v>0</v>
      </c>
      <c r="RE23" s="261">
        <v>0</v>
      </c>
      <c r="RF23" s="261">
        <v>0</v>
      </c>
      <c r="RG23" s="262">
        <v>0</v>
      </c>
      <c r="RH23" s="261">
        <v>0</v>
      </c>
      <c r="RI23" s="261">
        <v>0</v>
      </c>
      <c r="RJ23" s="262">
        <v>0</v>
      </c>
      <c r="RK23" s="261">
        <v>0</v>
      </c>
      <c r="RL23" s="261">
        <v>0</v>
      </c>
      <c r="RM23" s="262">
        <v>0</v>
      </c>
      <c r="RN23" s="261">
        <v>0</v>
      </c>
      <c r="RO23" s="261">
        <v>0</v>
      </c>
      <c r="RP23" s="262">
        <v>0</v>
      </c>
      <c r="RQ23" s="261">
        <v>0</v>
      </c>
      <c r="RR23" s="261">
        <v>0</v>
      </c>
      <c r="RS23" s="262">
        <v>0</v>
      </c>
      <c r="RT23" s="261">
        <v>0</v>
      </c>
      <c r="RU23" s="261">
        <v>0</v>
      </c>
      <c r="RV23" s="262">
        <v>0</v>
      </c>
      <c r="RW23" s="261">
        <v>0</v>
      </c>
      <c r="RX23" s="261">
        <v>0</v>
      </c>
      <c r="RY23" s="262">
        <v>0</v>
      </c>
      <c r="RZ23" s="261">
        <v>0</v>
      </c>
      <c r="SA23" s="261">
        <v>0</v>
      </c>
      <c r="SB23" s="263">
        <v>0</v>
      </c>
      <c r="SC23" s="261">
        <v>697549.20490799996</v>
      </c>
      <c r="SD23" s="261">
        <v>632717.65317599999</v>
      </c>
      <c r="SE23" s="262">
        <v>0.10246521715740101</v>
      </c>
      <c r="SF23" s="261">
        <v>2916417.8829160002</v>
      </c>
      <c r="SG23" s="261">
        <v>2426197.3726530001</v>
      </c>
      <c r="SH23" s="262">
        <v>0.20205302164965799</v>
      </c>
      <c r="SI23" s="261">
        <v>6376242.1728370003</v>
      </c>
      <c r="SJ23" s="261">
        <v>5206884.7879290003</v>
      </c>
      <c r="SK23" s="262">
        <v>0.22457907799667401</v>
      </c>
      <c r="SL23" s="261">
        <v>0</v>
      </c>
      <c r="SM23" s="261">
        <v>0</v>
      </c>
      <c r="SN23" s="262">
        <v>0</v>
      </c>
      <c r="SO23" s="261">
        <v>0</v>
      </c>
      <c r="SP23" s="261">
        <v>0</v>
      </c>
      <c r="SQ23" s="262">
        <v>0</v>
      </c>
      <c r="SR23" s="261">
        <v>0</v>
      </c>
      <c r="SS23" s="261">
        <v>0</v>
      </c>
      <c r="ST23" s="262">
        <v>0</v>
      </c>
      <c r="SU23" s="261">
        <v>0</v>
      </c>
      <c r="SV23" s="261">
        <v>0</v>
      </c>
      <c r="SW23" s="262">
        <v>0</v>
      </c>
      <c r="SX23" s="261">
        <v>0</v>
      </c>
      <c r="SY23" s="261">
        <v>0</v>
      </c>
      <c r="SZ23" s="262">
        <v>0</v>
      </c>
      <c r="TA23" s="261">
        <v>0</v>
      </c>
      <c r="TB23" s="261">
        <v>0</v>
      </c>
      <c r="TC23" s="262">
        <v>0</v>
      </c>
      <c r="TD23" s="261">
        <v>0</v>
      </c>
      <c r="TE23" s="261">
        <v>0</v>
      </c>
      <c r="TF23" s="262">
        <v>0</v>
      </c>
      <c r="TG23" s="261">
        <v>0</v>
      </c>
      <c r="TH23" s="261">
        <v>0</v>
      </c>
      <c r="TI23" s="262">
        <v>0</v>
      </c>
      <c r="TJ23" s="261">
        <v>0</v>
      </c>
      <c r="TK23" s="261">
        <v>0</v>
      </c>
      <c r="TL23" s="262">
        <v>0</v>
      </c>
      <c r="TM23" s="261">
        <v>0</v>
      </c>
      <c r="TN23" s="261">
        <v>0</v>
      </c>
      <c r="TO23" s="262">
        <v>0</v>
      </c>
      <c r="TP23" s="261">
        <v>0</v>
      </c>
      <c r="TQ23" s="261">
        <v>0</v>
      </c>
      <c r="TR23" s="262">
        <v>0</v>
      </c>
      <c r="TS23" s="261">
        <v>0</v>
      </c>
      <c r="TT23" s="261">
        <v>0</v>
      </c>
      <c r="TU23" s="263">
        <v>0</v>
      </c>
      <c r="TV23" s="261">
        <v>632538.47960399999</v>
      </c>
      <c r="TW23" s="261">
        <v>477091.774584</v>
      </c>
      <c r="TX23" s="262">
        <v>0.32582138972222202</v>
      </c>
      <c r="TY23" s="261">
        <v>3548956.36252</v>
      </c>
      <c r="TZ23" s="261">
        <v>2903289.1472370001</v>
      </c>
      <c r="UA23" s="262">
        <v>0.22239163326101</v>
      </c>
      <c r="UB23" s="261">
        <v>6531688.8778569996</v>
      </c>
      <c r="UC23" s="261">
        <v>5180642.2929480001</v>
      </c>
      <c r="UD23" s="262">
        <v>0.26078746775242001</v>
      </c>
      <c r="UE23" s="261">
        <v>0</v>
      </c>
      <c r="UF23" s="261">
        <v>0</v>
      </c>
      <c r="UG23" s="262">
        <v>0</v>
      </c>
      <c r="UH23" s="261">
        <v>0</v>
      </c>
      <c r="UI23" s="261">
        <v>0</v>
      </c>
      <c r="UJ23" s="262">
        <v>0</v>
      </c>
      <c r="UK23" s="261">
        <v>0</v>
      </c>
      <c r="UL23" s="261">
        <v>0</v>
      </c>
      <c r="UM23" s="262">
        <v>0</v>
      </c>
      <c r="UN23" s="261">
        <v>0</v>
      </c>
      <c r="UO23" s="261">
        <v>0</v>
      </c>
      <c r="UP23" s="262">
        <v>0</v>
      </c>
      <c r="UQ23" s="261">
        <v>0</v>
      </c>
      <c r="UR23" s="261">
        <v>0</v>
      </c>
      <c r="US23" s="262">
        <v>0</v>
      </c>
      <c r="UT23" s="261">
        <v>0</v>
      </c>
      <c r="UU23" s="261">
        <v>0</v>
      </c>
      <c r="UV23" s="262">
        <v>0</v>
      </c>
      <c r="UW23" s="261">
        <v>0</v>
      </c>
      <c r="UX23" s="261">
        <v>0</v>
      </c>
      <c r="UY23" s="262">
        <v>0</v>
      </c>
      <c r="UZ23" s="261">
        <v>0</v>
      </c>
      <c r="VA23" s="261">
        <v>0</v>
      </c>
      <c r="VB23" s="262">
        <v>0</v>
      </c>
      <c r="VC23" s="261">
        <v>0</v>
      </c>
      <c r="VD23" s="261">
        <v>0</v>
      </c>
      <c r="VE23" s="262">
        <v>0</v>
      </c>
      <c r="VF23" s="261">
        <v>0</v>
      </c>
      <c r="VG23" s="261">
        <v>0</v>
      </c>
      <c r="VH23" s="262">
        <v>0</v>
      </c>
      <c r="VI23" s="261">
        <v>0</v>
      </c>
      <c r="VJ23" s="261">
        <v>0</v>
      </c>
      <c r="VK23" s="262">
        <v>0</v>
      </c>
      <c r="VL23" s="261">
        <v>0</v>
      </c>
      <c r="VM23" s="261">
        <v>0</v>
      </c>
      <c r="VN23" s="263">
        <v>0</v>
      </c>
    </row>
    <row r="24" spans="1:586">
      <c r="A24" s="267" t="s">
        <v>115</v>
      </c>
      <c r="B24" s="261">
        <v>-718620.00988200004</v>
      </c>
      <c r="C24" s="261">
        <v>-791003.58811400004</v>
      </c>
      <c r="D24" s="262">
        <v>-9.1508533361504801E-2</v>
      </c>
      <c r="E24" s="261">
        <v>-4663222.3871219996</v>
      </c>
      <c r="F24" s="261">
        <v>-5134041.5267540002</v>
      </c>
      <c r="G24" s="262">
        <v>-9.1705362564466097E-2</v>
      </c>
      <c r="H24" s="261">
        <v>-8193389.6656229999</v>
      </c>
      <c r="I24" s="261">
        <v>-9028941.2510749996</v>
      </c>
      <c r="J24" s="262">
        <v>-9.2541479916321001E-2</v>
      </c>
      <c r="K24" s="261">
        <v>0</v>
      </c>
      <c r="L24" s="261">
        <v>0</v>
      </c>
      <c r="M24" s="262">
        <v>0</v>
      </c>
      <c r="N24" s="261">
        <v>0</v>
      </c>
      <c r="O24" s="261">
        <v>0</v>
      </c>
      <c r="P24" s="262">
        <v>0</v>
      </c>
      <c r="Q24" s="261">
        <v>0</v>
      </c>
      <c r="R24" s="261">
        <v>0</v>
      </c>
      <c r="S24" s="262">
        <v>0</v>
      </c>
      <c r="T24" s="261">
        <v>0</v>
      </c>
      <c r="U24" s="261">
        <v>0</v>
      </c>
      <c r="V24" s="262">
        <v>0</v>
      </c>
      <c r="W24" s="261">
        <v>0</v>
      </c>
      <c r="X24" s="261">
        <v>0</v>
      </c>
      <c r="Y24" s="262">
        <v>0</v>
      </c>
      <c r="Z24" s="261">
        <v>0</v>
      </c>
      <c r="AA24" s="261">
        <v>0</v>
      </c>
      <c r="AB24" s="262">
        <v>0</v>
      </c>
      <c r="AC24" s="261">
        <v>0</v>
      </c>
      <c r="AD24" s="261">
        <v>0</v>
      </c>
      <c r="AE24" s="262">
        <v>0</v>
      </c>
      <c r="AF24" s="261">
        <v>0</v>
      </c>
      <c r="AG24" s="261">
        <v>0</v>
      </c>
      <c r="AH24" s="262">
        <v>0</v>
      </c>
      <c r="AI24" s="261">
        <v>0</v>
      </c>
      <c r="AJ24" s="261">
        <v>0</v>
      </c>
      <c r="AK24" s="262">
        <v>0</v>
      </c>
      <c r="AL24" s="261">
        <v>0</v>
      </c>
      <c r="AM24" s="261">
        <v>0</v>
      </c>
      <c r="AN24" s="262">
        <v>0</v>
      </c>
      <c r="AO24" s="261">
        <v>0</v>
      </c>
      <c r="AP24" s="261">
        <v>0</v>
      </c>
      <c r="AQ24" s="262">
        <v>0</v>
      </c>
      <c r="AR24" s="261">
        <v>0</v>
      </c>
      <c r="AS24" s="261">
        <v>0</v>
      </c>
      <c r="AT24" s="263">
        <v>0</v>
      </c>
      <c r="AU24" s="261">
        <v>-803213.47497099999</v>
      </c>
      <c r="AV24" s="261">
        <v>-645313.35691099998</v>
      </c>
      <c r="AW24" s="262">
        <v>0.24468750936109501</v>
      </c>
      <c r="AX24" s="261">
        <v>-5466435.8620929997</v>
      </c>
      <c r="AY24" s="261">
        <v>-5779354.8836650001</v>
      </c>
      <c r="AZ24" s="262">
        <v>-5.41442821683173E-2</v>
      </c>
      <c r="BA24" s="261">
        <v>-8351289.7836830001</v>
      </c>
      <c r="BB24" s="261">
        <v>-9195754.3696720004</v>
      </c>
      <c r="BC24" s="262">
        <v>-9.1832007689774897E-2</v>
      </c>
      <c r="BD24" s="261">
        <v>0</v>
      </c>
      <c r="BE24" s="261">
        <v>0</v>
      </c>
      <c r="BF24" s="262">
        <v>0</v>
      </c>
      <c r="BG24" s="261">
        <v>0</v>
      </c>
      <c r="BH24" s="261">
        <v>0</v>
      </c>
      <c r="BI24" s="262">
        <v>0</v>
      </c>
      <c r="BJ24" s="261">
        <v>0</v>
      </c>
      <c r="BK24" s="261">
        <v>0</v>
      </c>
      <c r="BL24" s="262">
        <v>0</v>
      </c>
      <c r="BM24" s="261">
        <v>0</v>
      </c>
      <c r="BN24" s="261">
        <v>0</v>
      </c>
      <c r="BO24" s="262">
        <v>0</v>
      </c>
      <c r="BP24" s="261">
        <v>0</v>
      </c>
      <c r="BQ24" s="261">
        <v>0</v>
      </c>
      <c r="BR24" s="262">
        <v>0</v>
      </c>
      <c r="BS24" s="261">
        <v>0</v>
      </c>
      <c r="BT24" s="261">
        <v>0</v>
      </c>
      <c r="BU24" s="262">
        <v>0</v>
      </c>
      <c r="BV24" s="261">
        <v>0</v>
      </c>
      <c r="BW24" s="261">
        <v>0</v>
      </c>
      <c r="BX24" s="262">
        <v>0</v>
      </c>
      <c r="BY24" s="261">
        <v>0</v>
      </c>
      <c r="BZ24" s="261">
        <v>0</v>
      </c>
      <c r="CA24" s="262">
        <v>0</v>
      </c>
      <c r="CB24" s="261">
        <v>0</v>
      </c>
      <c r="CC24" s="261">
        <v>0</v>
      </c>
      <c r="CD24" s="262">
        <v>0</v>
      </c>
      <c r="CE24" s="261">
        <v>0</v>
      </c>
      <c r="CF24" s="261">
        <v>0</v>
      </c>
      <c r="CG24" s="262">
        <v>0</v>
      </c>
      <c r="CH24" s="261">
        <v>0</v>
      </c>
      <c r="CI24" s="261">
        <v>0</v>
      </c>
      <c r="CJ24" s="262">
        <v>0</v>
      </c>
      <c r="CK24" s="261">
        <v>0</v>
      </c>
      <c r="CL24" s="261">
        <v>0</v>
      </c>
      <c r="CM24" s="263">
        <v>0</v>
      </c>
      <c r="CN24" s="261">
        <v>-846412.90735999995</v>
      </c>
      <c r="CO24" s="261">
        <v>-661364.66610000003</v>
      </c>
      <c r="CP24" s="262">
        <v>0.27979759238002599</v>
      </c>
      <c r="CQ24" s="261">
        <v>-6312848.7694530003</v>
      </c>
      <c r="CR24" s="261">
        <v>-6440719.5497650001</v>
      </c>
      <c r="CS24" s="262">
        <v>-1.9853492971397199E-2</v>
      </c>
      <c r="CT24" s="261">
        <v>-8536338.0249429997</v>
      </c>
      <c r="CU24" s="261">
        <v>-9227946.6430280004</v>
      </c>
      <c r="CV24" s="262">
        <v>-7.4947184334613795E-2</v>
      </c>
      <c r="CW24" s="261">
        <v>0</v>
      </c>
      <c r="CX24" s="261">
        <v>0</v>
      </c>
      <c r="CY24" s="262">
        <v>0</v>
      </c>
      <c r="CZ24" s="261">
        <v>0</v>
      </c>
      <c r="DA24" s="261">
        <v>0</v>
      </c>
      <c r="DB24" s="262">
        <v>0</v>
      </c>
      <c r="DC24" s="261">
        <v>0</v>
      </c>
      <c r="DD24" s="261">
        <v>0</v>
      </c>
      <c r="DE24" s="262">
        <v>0</v>
      </c>
      <c r="DF24" s="261">
        <v>0</v>
      </c>
      <c r="DG24" s="261">
        <v>0</v>
      </c>
      <c r="DH24" s="262">
        <v>0</v>
      </c>
      <c r="DI24" s="261">
        <v>0</v>
      </c>
      <c r="DJ24" s="261">
        <v>0</v>
      </c>
      <c r="DK24" s="262">
        <v>0</v>
      </c>
      <c r="DL24" s="261">
        <v>0</v>
      </c>
      <c r="DM24" s="261">
        <v>0</v>
      </c>
      <c r="DN24" s="262">
        <v>0</v>
      </c>
      <c r="DO24" s="261">
        <v>0</v>
      </c>
      <c r="DP24" s="261">
        <v>0</v>
      </c>
      <c r="DQ24" s="262">
        <v>0</v>
      </c>
      <c r="DR24" s="261">
        <v>0</v>
      </c>
      <c r="DS24" s="261">
        <v>0</v>
      </c>
      <c r="DT24" s="262">
        <v>0</v>
      </c>
      <c r="DU24" s="261">
        <v>0</v>
      </c>
      <c r="DV24" s="261">
        <v>0</v>
      </c>
      <c r="DW24" s="262">
        <v>0</v>
      </c>
      <c r="DX24" s="261">
        <v>0</v>
      </c>
      <c r="DY24" s="261">
        <v>0</v>
      </c>
      <c r="DZ24" s="262">
        <v>0</v>
      </c>
      <c r="EA24" s="261">
        <v>0</v>
      </c>
      <c r="EB24" s="261">
        <v>0</v>
      </c>
      <c r="EC24" s="262">
        <v>0</v>
      </c>
      <c r="ED24" s="261">
        <v>0</v>
      </c>
      <c r="EE24" s="261">
        <v>0</v>
      </c>
      <c r="EF24" s="263">
        <v>0</v>
      </c>
      <c r="EG24" s="261">
        <v>-800340.21899199998</v>
      </c>
      <c r="EH24" s="261">
        <v>-701359.51179999998</v>
      </c>
      <c r="EI24" s="262">
        <v>0.141126919257103</v>
      </c>
      <c r="EJ24" s="261">
        <v>-7113188.9884449998</v>
      </c>
      <c r="EK24" s="261">
        <v>-7142079.0615649996</v>
      </c>
      <c r="EL24" s="262">
        <v>-4.0450508697770296E-3</v>
      </c>
      <c r="EM24" s="261">
        <v>-8635318.7321349997</v>
      </c>
      <c r="EN24" s="261">
        <v>-9393175.3360600006</v>
      </c>
      <c r="EO24" s="262">
        <v>-8.0681620092368705E-2</v>
      </c>
      <c r="EP24" s="261">
        <v>0</v>
      </c>
      <c r="EQ24" s="261">
        <v>0</v>
      </c>
      <c r="ER24" s="262">
        <v>0</v>
      </c>
      <c r="ES24" s="261">
        <v>0</v>
      </c>
      <c r="ET24" s="261">
        <v>0</v>
      </c>
      <c r="EU24" s="262">
        <v>0</v>
      </c>
      <c r="EV24" s="261">
        <v>0</v>
      </c>
      <c r="EW24" s="261">
        <v>0</v>
      </c>
      <c r="EX24" s="262">
        <v>0</v>
      </c>
      <c r="EY24" s="261">
        <v>0</v>
      </c>
      <c r="EZ24" s="261">
        <v>0</v>
      </c>
      <c r="FA24" s="262">
        <v>0</v>
      </c>
      <c r="FB24" s="261">
        <v>0</v>
      </c>
      <c r="FC24" s="261">
        <v>0</v>
      </c>
      <c r="FD24" s="262">
        <v>0</v>
      </c>
      <c r="FE24" s="261">
        <v>0</v>
      </c>
      <c r="FF24" s="261">
        <v>0</v>
      </c>
      <c r="FG24" s="262">
        <v>0</v>
      </c>
      <c r="FH24" s="261">
        <v>0</v>
      </c>
      <c r="FI24" s="261">
        <v>0</v>
      </c>
      <c r="FJ24" s="262">
        <v>0</v>
      </c>
      <c r="FK24" s="261">
        <v>0</v>
      </c>
      <c r="FL24" s="261">
        <v>0</v>
      </c>
      <c r="FM24" s="262">
        <v>0</v>
      </c>
      <c r="FN24" s="261">
        <v>0</v>
      </c>
      <c r="FO24" s="261">
        <v>0</v>
      </c>
      <c r="FP24" s="262">
        <v>0</v>
      </c>
      <c r="FQ24" s="261">
        <v>0</v>
      </c>
      <c r="FR24" s="261">
        <v>0</v>
      </c>
      <c r="FS24" s="262">
        <v>0</v>
      </c>
      <c r="FT24" s="261">
        <v>0</v>
      </c>
      <c r="FU24" s="261">
        <v>0</v>
      </c>
      <c r="FV24" s="262">
        <v>0</v>
      </c>
      <c r="FW24" s="261">
        <v>0</v>
      </c>
      <c r="FX24" s="261">
        <v>0</v>
      </c>
      <c r="FY24" s="263">
        <v>0</v>
      </c>
      <c r="FZ24" s="261">
        <v>-742293.89290500002</v>
      </c>
      <c r="GA24" s="261">
        <v>-528090.72713799996</v>
      </c>
      <c r="GB24" s="262">
        <v>0.40561811590193803</v>
      </c>
      <c r="GC24" s="261">
        <v>-7855482.8813500004</v>
      </c>
      <c r="GD24" s="261">
        <v>-7670169.7887030002</v>
      </c>
      <c r="GE24" s="262">
        <v>2.4160233443585401E-2</v>
      </c>
      <c r="GF24" s="261">
        <v>-8849521.8979020007</v>
      </c>
      <c r="GG24" s="261">
        <v>-9159075.2351980004</v>
      </c>
      <c r="GH24" s="262">
        <v>-3.3797444539640599E-2</v>
      </c>
      <c r="GI24" s="261">
        <v>0</v>
      </c>
      <c r="GJ24" s="261">
        <v>0</v>
      </c>
      <c r="GK24" s="262">
        <v>0</v>
      </c>
      <c r="GL24" s="261">
        <v>0</v>
      </c>
      <c r="GM24" s="261">
        <v>0</v>
      </c>
      <c r="GN24" s="262">
        <v>0</v>
      </c>
      <c r="GO24" s="261">
        <v>0</v>
      </c>
      <c r="GP24" s="261">
        <v>0</v>
      </c>
      <c r="GQ24" s="262">
        <v>0</v>
      </c>
      <c r="GR24" s="261">
        <v>0</v>
      </c>
      <c r="GS24" s="261">
        <v>0</v>
      </c>
      <c r="GT24" s="262">
        <v>0</v>
      </c>
      <c r="GU24" s="261">
        <v>0</v>
      </c>
      <c r="GV24" s="261">
        <v>0</v>
      </c>
      <c r="GW24" s="262">
        <v>0</v>
      </c>
      <c r="GX24" s="261">
        <v>0</v>
      </c>
      <c r="GY24" s="261">
        <v>0</v>
      </c>
      <c r="GZ24" s="262">
        <v>0</v>
      </c>
      <c r="HA24" s="261">
        <v>0</v>
      </c>
      <c r="HB24" s="261">
        <v>0</v>
      </c>
      <c r="HC24" s="262">
        <v>0</v>
      </c>
      <c r="HD24" s="261">
        <v>0</v>
      </c>
      <c r="HE24" s="261">
        <v>0</v>
      </c>
      <c r="HF24" s="262">
        <v>0</v>
      </c>
      <c r="HG24" s="261">
        <v>0</v>
      </c>
      <c r="HH24" s="261">
        <v>0</v>
      </c>
      <c r="HI24" s="262">
        <v>0</v>
      </c>
      <c r="HJ24" s="261">
        <v>0</v>
      </c>
      <c r="HK24" s="261">
        <v>0</v>
      </c>
      <c r="HL24" s="262">
        <v>0</v>
      </c>
      <c r="HM24" s="261">
        <v>0</v>
      </c>
      <c r="HN24" s="261">
        <v>0</v>
      </c>
      <c r="HO24" s="262">
        <v>0</v>
      </c>
      <c r="HP24" s="261">
        <v>0</v>
      </c>
      <c r="HQ24" s="261">
        <v>0</v>
      </c>
      <c r="HR24" s="263">
        <v>0</v>
      </c>
      <c r="HS24" s="261">
        <v>-744831.86728100001</v>
      </c>
      <c r="HT24" s="261">
        <v>-419498.46351999999</v>
      </c>
      <c r="HU24" s="262">
        <v>0.77552942871622599</v>
      </c>
      <c r="HV24" s="261">
        <v>-8600314.7486310005</v>
      </c>
      <c r="HW24" s="261">
        <v>-8089668.2522229999</v>
      </c>
      <c r="HX24" s="262">
        <v>6.3123292635353406E-2</v>
      </c>
      <c r="HY24" s="261">
        <v>-9174855.3016630001</v>
      </c>
      <c r="HZ24" s="261">
        <v>-8772904.6387419999</v>
      </c>
      <c r="IA24" s="262">
        <v>4.5817283952449099E-2</v>
      </c>
      <c r="IB24" s="261">
        <v>0</v>
      </c>
      <c r="IC24" s="261">
        <v>0</v>
      </c>
      <c r="ID24" s="262">
        <v>0</v>
      </c>
      <c r="IE24" s="261">
        <v>0</v>
      </c>
      <c r="IF24" s="261">
        <v>0</v>
      </c>
      <c r="IG24" s="262">
        <v>0</v>
      </c>
      <c r="IH24" s="261">
        <v>0</v>
      </c>
      <c r="II24" s="261">
        <v>0</v>
      </c>
      <c r="IJ24" s="262">
        <v>0</v>
      </c>
      <c r="IK24" s="261">
        <v>0</v>
      </c>
      <c r="IL24" s="261">
        <v>0</v>
      </c>
      <c r="IM24" s="262">
        <v>0</v>
      </c>
      <c r="IN24" s="261">
        <v>0</v>
      </c>
      <c r="IO24" s="261">
        <v>0</v>
      </c>
      <c r="IP24" s="262">
        <v>0</v>
      </c>
      <c r="IQ24" s="261">
        <v>0</v>
      </c>
      <c r="IR24" s="261">
        <v>0</v>
      </c>
      <c r="IS24" s="262">
        <v>0</v>
      </c>
      <c r="IT24" s="261">
        <v>0</v>
      </c>
      <c r="IU24" s="261">
        <v>0</v>
      </c>
      <c r="IV24" s="262">
        <v>0</v>
      </c>
      <c r="IW24" s="261">
        <v>0</v>
      </c>
      <c r="IX24" s="261">
        <v>0</v>
      </c>
      <c r="IY24" s="262">
        <v>0</v>
      </c>
      <c r="IZ24" s="261">
        <v>0</v>
      </c>
      <c r="JA24" s="261">
        <v>0</v>
      </c>
      <c r="JB24" s="262">
        <v>0</v>
      </c>
      <c r="JC24" s="261">
        <v>0</v>
      </c>
      <c r="JD24" s="261">
        <v>0</v>
      </c>
      <c r="JE24" s="262">
        <v>0</v>
      </c>
      <c r="JF24" s="261">
        <v>0</v>
      </c>
      <c r="JG24" s="261">
        <v>0</v>
      </c>
      <c r="JH24" s="262">
        <v>0</v>
      </c>
      <c r="JI24" s="261">
        <v>0</v>
      </c>
      <c r="JJ24" s="261">
        <v>0</v>
      </c>
      <c r="JK24" s="263">
        <v>0</v>
      </c>
      <c r="JL24" s="261">
        <v>-553643.16556600004</v>
      </c>
      <c r="JM24" s="261">
        <v>-574540.55303199997</v>
      </c>
      <c r="JN24" s="262">
        <v>-3.6372345443187598E-2</v>
      </c>
      <c r="JO24" s="261">
        <v>-9153957.9141969997</v>
      </c>
      <c r="JP24" s="261">
        <v>-8664208.8052549995</v>
      </c>
      <c r="JQ24" s="262">
        <v>5.6525543180002601E-2</v>
      </c>
      <c r="JR24" s="261">
        <v>-9153957.9141969997</v>
      </c>
      <c r="JS24" s="261">
        <v>-8664208.8052549995</v>
      </c>
      <c r="JT24" s="262">
        <v>5.6525543180002601E-2</v>
      </c>
      <c r="JU24" s="261">
        <v>0</v>
      </c>
      <c r="JV24" s="261">
        <v>0</v>
      </c>
      <c r="JW24" s="262">
        <v>0</v>
      </c>
      <c r="JX24" s="261">
        <v>0</v>
      </c>
      <c r="JY24" s="261">
        <v>0</v>
      </c>
      <c r="JZ24" s="262">
        <v>0</v>
      </c>
      <c r="KA24" s="261">
        <v>0</v>
      </c>
      <c r="KB24" s="261">
        <v>0</v>
      </c>
      <c r="KC24" s="262">
        <v>0</v>
      </c>
      <c r="KD24" s="261">
        <v>0</v>
      </c>
      <c r="KE24" s="261">
        <v>0</v>
      </c>
      <c r="KF24" s="262">
        <v>0</v>
      </c>
      <c r="KG24" s="261">
        <v>0</v>
      </c>
      <c r="KH24" s="261">
        <v>0</v>
      </c>
      <c r="KI24" s="262">
        <v>0</v>
      </c>
      <c r="KJ24" s="261">
        <v>0</v>
      </c>
      <c r="KK24" s="261">
        <v>0</v>
      </c>
      <c r="KL24" s="262">
        <v>0</v>
      </c>
      <c r="KM24" s="261">
        <v>0</v>
      </c>
      <c r="KN24" s="261">
        <v>0</v>
      </c>
      <c r="KO24" s="262">
        <v>0</v>
      </c>
      <c r="KP24" s="261">
        <v>0</v>
      </c>
      <c r="KQ24" s="261">
        <v>0</v>
      </c>
      <c r="KR24" s="262">
        <v>0</v>
      </c>
      <c r="KS24" s="261">
        <v>0</v>
      </c>
      <c r="KT24" s="261">
        <v>0</v>
      </c>
      <c r="KU24" s="262">
        <v>0</v>
      </c>
      <c r="KV24" s="261">
        <v>0</v>
      </c>
      <c r="KW24" s="261">
        <v>0</v>
      </c>
      <c r="KX24" s="262">
        <v>0</v>
      </c>
      <c r="KY24" s="261">
        <v>0</v>
      </c>
      <c r="KZ24" s="261">
        <v>0</v>
      </c>
      <c r="LA24" s="262">
        <v>0</v>
      </c>
      <c r="LB24" s="261">
        <v>0</v>
      </c>
      <c r="LC24" s="261">
        <v>0</v>
      </c>
      <c r="LD24" s="263">
        <v>0</v>
      </c>
      <c r="LE24" s="261">
        <v>-750778.88619899994</v>
      </c>
      <c r="LF24" s="261">
        <v>-753553.84100000001</v>
      </c>
      <c r="LG24" s="262">
        <v>-3.68249042074762E-3</v>
      </c>
      <c r="LH24" s="261">
        <v>-750778.88619899994</v>
      </c>
      <c r="LI24" s="261">
        <v>-753553.84100000001</v>
      </c>
      <c r="LJ24" s="262">
        <v>-3.68249042074762E-3</v>
      </c>
      <c r="LK24" s="261">
        <v>-9151182.9593959991</v>
      </c>
      <c r="LL24" s="261">
        <v>-8681828.4992900006</v>
      </c>
      <c r="LM24" s="262">
        <v>5.4061706027063602E-2</v>
      </c>
      <c r="LN24" s="261">
        <v>0</v>
      </c>
      <c r="LO24" s="261">
        <v>0</v>
      </c>
      <c r="LP24" s="262">
        <v>0</v>
      </c>
      <c r="LQ24" s="261">
        <v>0</v>
      </c>
      <c r="LR24" s="261">
        <v>0</v>
      </c>
      <c r="LS24" s="262">
        <v>0</v>
      </c>
      <c r="LT24" s="261">
        <v>0</v>
      </c>
      <c r="LU24" s="261">
        <v>0</v>
      </c>
      <c r="LV24" s="262">
        <v>0</v>
      </c>
      <c r="LW24" s="261">
        <v>0</v>
      </c>
      <c r="LX24" s="261">
        <v>0</v>
      </c>
      <c r="LY24" s="262">
        <v>0</v>
      </c>
      <c r="LZ24" s="261">
        <v>0</v>
      </c>
      <c r="MA24" s="261">
        <v>0</v>
      </c>
      <c r="MB24" s="262">
        <v>0</v>
      </c>
      <c r="MC24" s="261">
        <v>0</v>
      </c>
      <c r="MD24" s="261">
        <v>0</v>
      </c>
      <c r="ME24" s="262">
        <v>0</v>
      </c>
      <c r="MF24" s="261">
        <v>0</v>
      </c>
      <c r="MG24" s="261">
        <v>0</v>
      </c>
      <c r="MH24" s="262">
        <v>0</v>
      </c>
      <c r="MI24" s="261">
        <v>0</v>
      </c>
      <c r="MJ24" s="261">
        <v>0</v>
      </c>
      <c r="MK24" s="262">
        <v>0</v>
      </c>
      <c r="ML24" s="261">
        <v>0</v>
      </c>
      <c r="MM24" s="261">
        <v>0</v>
      </c>
      <c r="MN24" s="262">
        <v>0</v>
      </c>
      <c r="MO24" s="261">
        <v>0</v>
      </c>
      <c r="MP24" s="261">
        <v>0</v>
      </c>
      <c r="MQ24" s="262">
        <v>0</v>
      </c>
      <c r="MR24" s="261">
        <v>0</v>
      </c>
      <c r="MS24" s="261">
        <v>0</v>
      </c>
      <c r="MT24" s="262">
        <v>0</v>
      </c>
      <c r="MU24" s="261">
        <v>0</v>
      </c>
      <c r="MV24" s="261">
        <v>0</v>
      </c>
      <c r="MW24" s="263">
        <v>0</v>
      </c>
      <c r="MX24" s="261">
        <v>-916096.21200000006</v>
      </c>
      <c r="MY24" s="261">
        <v>-511277.33405599999</v>
      </c>
      <c r="MZ24" s="262">
        <v>0.79177943354645297</v>
      </c>
      <c r="NA24" s="261">
        <v>-1666875.0981990001</v>
      </c>
      <c r="NB24" s="261">
        <v>-1264831.175056</v>
      </c>
      <c r="NC24" s="262">
        <v>0.31786370471553199</v>
      </c>
      <c r="ND24" s="261">
        <v>-9556001.8373399992</v>
      </c>
      <c r="NE24" s="261">
        <v>-8328771.4464260004</v>
      </c>
      <c r="NF24" s="262">
        <v>0.14734830926842399</v>
      </c>
      <c r="NG24" s="261">
        <v>0</v>
      </c>
      <c r="NH24" s="261">
        <v>0</v>
      </c>
      <c r="NI24" s="262">
        <v>0</v>
      </c>
      <c r="NJ24" s="261">
        <v>0</v>
      </c>
      <c r="NK24" s="261">
        <v>0</v>
      </c>
      <c r="NL24" s="262">
        <v>0</v>
      </c>
      <c r="NM24" s="261">
        <v>0</v>
      </c>
      <c r="NN24" s="261">
        <v>0</v>
      </c>
      <c r="NO24" s="262">
        <v>0</v>
      </c>
      <c r="NP24" s="261">
        <v>0</v>
      </c>
      <c r="NQ24" s="261">
        <v>0</v>
      </c>
      <c r="NR24" s="262">
        <v>0</v>
      </c>
      <c r="NS24" s="261">
        <v>0</v>
      </c>
      <c r="NT24" s="261">
        <v>0</v>
      </c>
      <c r="NU24" s="262">
        <v>0</v>
      </c>
      <c r="NV24" s="261">
        <v>0</v>
      </c>
      <c r="NW24" s="261">
        <v>0</v>
      </c>
      <c r="NX24" s="262">
        <v>0</v>
      </c>
      <c r="NY24" s="261">
        <v>0</v>
      </c>
      <c r="NZ24" s="261">
        <v>0</v>
      </c>
      <c r="OA24" s="262">
        <v>0</v>
      </c>
      <c r="OB24" s="261">
        <v>0</v>
      </c>
      <c r="OC24" s="261">
        <v>0</v>
      </c>
      <c r="OD24" s="262">
        <v>0</v>
      </c>
      <c r="OE24" s="261">
        <v>0</v>
      </c>
      <c r="OF24" s="261">
        <v>0</v>
      </c>
      <c r="OG24" s="262">
        <v>0</v>
      </c>
      <c r="OH24" s="261">
        <v>0</v>
      </c>
      <c r="OI24" s="261">
        <v>0</v>
      </c>
      <c r="OJ24" s="262">
        <v>0</v>
      </c>
      <c r="OK24" s="261">
        <v>0</v>
      </c>
      <c r="OL24" s="261">
        <v>0</v>
      </c>
      <c r="OM24" s="262">
        <v>0</v>
      </c>
      <c r="ON24" s="261">
        <v>0</v>
      </c>
      <c r="OO24" s="261">
        <v>0</v>
      </c>
      <c r="OP24" s="263">
        <v>0</v>
      </c>
      <c r="OQ24" s="261">
        <v>-898570.29618199996</v>
      </c>
      <c r="OR24" s="261">
        <v>-779770.98613400001</v>
      </c>
      <c r="OS24" s="262">
        <v>0.15235153931154999</v>
      </c>
      <c r="OT24" s="261">
        <v>-2565445.3943810002</v>
      </c>
      <c r="OU24" s="261">
        <v>-2044602.1611899999</v>
      </c>
      <c r="OV24" s="262">
        <v>0.25474062537812198</v>
      </c>
      <c r="OW24" s="261">
        <v>-9674801.147388</v>
      </c>
      <c r="OX24" s="261">
        <v>-8047639.8957660003</v>
      </c>
      <c r="OY24" s="262">
        <v>0.202191111021018</v>
      </c>
      <c r="OZ24" s="261">
        <v>0</v>
      </c>
      <c r="PA24" s="261">
        <v>0</v>
      </c>
      <c r="PB24" s="262">
        <v>0</v>
      </c>
      <c r="PC24" s="261">
        <v>0</v>
      </c>
      <c r="PD24" s="261">
        <v>0</v>
      </c>
      <c r="PE24" s="262">
        <v>0</v>
      </c>
      <c r="PF24" s="261">
        <v>0</v>
      </c>
      <c r="PG24" s="261">
        <v>0</v>
      </c>
      <c r="PH24" s="262">
        <v>0</v>
      </c>
      <c r="PI24" s="261">
        <v>0</v>
      </c>
      <c r="PJ24" s="261">
        <v>0</v>
      </c>
      <c r="PK24" s="262">
        <v>0</v>
      </c>
      <c r="PL24" s="261">
        <v>0</v>
      </c>
      <c r="PM24" s="261">
        <v>0</v>
      </c>
      <c r="PN24" s="262">
        <v>0</v>
      </c>
      <c r="PO24" s="261">
        <v>0</v>
      </c>
      <c r="PP24" s="261">
        <v>0</v>
      </c>
      <c r="PQ24" s="262">
        <v>0</v>
      </c>
      <c r="PR24" s="261">
        <v>0</v>
      </c>
      <c r="PS24" s="261">
        <v>0</v>
      </c>
      <c r="PT24" s="262">
        <v>0</v>
      </c>
      <c r="PU24" s="261">
        <v>0</v>
      </c>
      <c r="PV24" s="261">
        <v>0</v>
      </c>
      <c r="PW24" s="262">
        <v>0</v>
      </c>
      <c r="PX24" s="261">
        <v>0</v>
      </c>
      <c r="PY24" s="261">
        <v>0</v>
      </c>
      <c r="PZ24" s="262">
        <v>0</v>
      </c>
      <c r="QA24" s="261">
        <v>0</v>
      </c>
      <c r="QB24" s="261">
        <v>0</v>
      </c>
      <c r="QC24" s="262">
        <v>0</v>
      </c>
      <c r="QD24" s="261">
        <v>0</v>
      </c>
      <c r="QE24" s="261">
        <v>0</v>
      </c>
      <c r="QF24" s="262">
        <v>0</v>
      </c>
      <c r="QG24" s="261">
        <v>0</v>
      </c>
      <c r="QH24" s="261">
        <v>0</v>
      </c>
      <c r="QI24" s="263">
        <v>0</v>
      </c>
      <c r="QJ24" s="261">
        <v>-1041825.032948</v>
      </c>
      <c r="QK24" s="261">
        <v>-963436.47009700001</v>
      </c>
      <c r="QL24" s="262">
        <v>8.1363499601699502E-2</v>
      </c>
      <c r="QM24" s="261">
        <v>-3607270.4273290001</v>
      </c>
      <c r="QN24" s="261">
        <v>-3008038.6312870001</v>
      </c>
      <c r="QO24" s="262">
        <v>0.19921013972670201</v>
      </c>
      <c r="QP24" s="261">
        <v>-9753189.7102390006</v>
      </c>
      <c r="QQ24" s="261">
        <v>-8297332.5728399996</v>
      </c>
      <c r="QR24" s="262">
        <v>0.175460863430317</v>
      </c>
      <c r="QS24" s="261">
        <v>0</v>
      </c>
      <c r="QT24" s="261">
        <v>0</v>
      </c>
      <c r="QU24" s="262">
        <v>0</v>
      </c>
      <c r="QV24" s="261">
        <v>0</v>
      </c>
      <c r="QW24" s="261">
        <v>0</v>
      </c>
      <c r="QX24" s="262">
        <v>0</v>
      </c>
      <c r="QY24" s="261">
        <v>0</v>
      </c>
      <c r="QZ24" s="261">
        <v>0</v>
      </c>
      <c r="RA24" s="262">
        <v>0</v>
      </c>
      <c r="RB24" s="261">
        <v>0</v>
      </c>
      <c r="RC24" s="261">
        <v>0</v>
      </c>
      <c r="RD24" s="262">
        <v>0</v>
      </c>
      <c r="RE24" s="261">
        <v>0</v>
      </c>
      <c r="RF24" s="261">
        <v>0</v>
      </c>
      <c r="RG24" s="262">
        <v>0</v>
      </c>
      <c r="RH24" s="261">
        <v>0</v>
      </c>
      <c r="RI24" s="261">
        <v>0</v>
      </c>
      <c r="RJ24" s="262">
        <v>0</v>
      </c>
      <c r="RK24" s="261">
        <v>0</v>
      </c>
      <c r="RL24" s="261">
        <v>0</v>
      </c>
      <c r="RM24" s="262">
        <v>0</v>
      </c>
      <c r="RN24" s="261">
        <v>0</v>
      </c>
      <c r="RO24" s="261">
        <v>0</v>
      </c>
      <c r="RP24" s="262">
        <v>0</v>
      </c>
      <c r="RQ24" s="261">
        <v>0</v>
      </c>
      <c r="RR24" s="261">
        <v>0</v>
      </c>
      <c r="RS24" s="262">
        <v>0</v>
      </c>
      <c r="RT24" s="261">
        <v>0</v>
      </c>
      <c r="RU24" s="261">
        <v>0</v>
      </c>
      <c r="RV24" s="262">
        <v>0</v>
      </c>
      <c r="RW24" s="261">
        <v>0</v>
      </c>
      <c r="RX24" s="261">
        <v>0</v>
      </c>
      <c r="RY24" s="262">
        <v>0</v>
      </c>
      <c r="RZ24" s="261">
        <v>0</v>
      </c>
      <c r="SA24" s="261">
        <v>0</v>
      </c>
      <c r="SB24" s="263">
        <v>0</v>
      </c>
      <c r="SC24" s="261">
        <v>-1096732.5026400001</v>
      </c>
      <c r="SD24" s="261">
        <v>-936563.74595300003</v>
      </c>
      <c r="SE24" s="262">
        <v>0.171017463978408</v>
      </c>
      <c r="SF24" s="261">
        <v>-4704002.9299689997</v>
      </c>
      <c r="SG24" s="261">
        <v>-3944602.3772399998</v>
      </c>
      <c r="SH24" s="262">
        <v>0.19251637556948001</v>
      </c>
      <c r="SI24" s="261">
        <v>-9913358.4669259991</v>
      </c>
      <c r="SJ24" s="261">
        <v>-8265773.2438549995</v>
      </c>
      <c r="SK24" s="262">
        <v>0.19932620632871301</v>
      </c>
      <c r="SL24" s="261">
        <v>0</v>
      </c>
      <c r="SM24" s="261">
        <v>0</v>
      </c>
      <c r="SN24" s="262">
        <v>0</v>
      </c>
      <c r="SO24" s="261">
        <v>0</v>
      </c>
      <c r="SP24" s="261">
        <v>0</v>
      </c>
      <c r="SQ24" s="262">
        <v>0</v>
      </c>
      <c r="SR24" s="261">
        <v>0</v>
      </c>
      <c r="SS24" s="261">
        <v>0</v>
      </c>
      <c r="ST24" s="262">
        <v>0</v>
      </c>
      <c r="SU24" s="261">
        <v>0</v>
      </c>
      <c r="SV24" s="261">
        <v>0</v>
      </c>
      <c r="SW24" s="262">
        <v>0</v>
      </c>
      <c r="SX24" s="261">
        <v>0</v>
      </c>
      <c r="SY24" s="261">
        <v>0</v>
      </c>
      <c r="SZ24" s="262">
        <v>0</v>
      </c>
      <c r="TA24" s="261">
        <v>0</v>
      </c>
      <c r="TB24" s="261">
        <v>0</v>
      </c>
      <c r="TC24" s="262">
        <v>0</v>
      </c>
      <c r="TD24" s="261">
        <v>0</v>
      </c>
      <c r="TE24" s="261">
        <v>0</v>
      </c>
      <c r="TF24" s="262">
        <v>0</v>
      </c>
      <c r="TG24" s="261">
        <v>0</v>
      </c>
      <c r="TH24" s="261">
        <v>0</v>
      </c>
      <c r="TI24" s="262">
        <v>0</v>
      </c>
      <c r="TJ24" s="261">
        <v>0</v>
      </c>
      <c r="TK24" s="261">
        <v>0</v>
      </c>
      <c r="TL24" s="262">
        <v>0</v>
      </c>
      <c r="TM24" s="261">
        <v>0</v>
      </c>
      <c r="TN24" s="261">
        <v>0</v>
      </c>
      <c r="TO24" s="262">
        <v>0</v>
      </c>
      <c r="TP24" s="261">
        <v>0</v>
      </c>
      <c r="TQ24" s="261">
        <v>0</v>
      </c>
      <c r="TR24" s="262">
        <v>0</v>
      </c>
      <c r="TS24" s="261">
        <v>0</v>
      </c>
      <c r="TT24" s="261">
        <v>0</v>
      </c>
      <c r="TU24" s="263">
        <v>0</v>
      </c>
      <c r="TV24" s="261">
        <v>-999248.571</v>
      </c>
      <c r="TW24" s="261">
        <v>-718620.00988200004</v>
      </c>
      <c r="TX24" s="262">
        <v>0.39051036327819499</v>
      </c>
      <c r="TY24" s="261">
        <v>-5703251.5009690002</v>
      </c>
      <c r="TZ24" s="261">
        <v>-4663222.3871219996</v>
      </c>
      <c r="UA24" s="262">
        <v>0.22302798955485301</v>
      </c>
      <c r="UB24" s="261">
        <v>-10193987.028044</v>
      </c>
      <c r="UC24" s="261">
        <v>-8193389.6656229999</v>
      </c>
      <c r="UD24" s="262">
        <v>0.24417212461100299</v>
      </c>
      <c r="UE24" s="261">
        <v>0</v>
      </c>
      <c r="UF24" s="261">
        <v>0</v>
      </c>
      <c r="UG24" s="262">
        <v>0</v>
      </c>
      <c r="UH24" s="261">
        <v>0</v>
      </c>
      <c r="UI24" s="261">
        <v>0</v>
      </c>
      <c r="UJ24" s="262">
        <v>0</v>
      </c>
      <c r="UK24" s="261">
        <v>0</v>
      </c>
      <c r="UL24" s="261">
        <v>0</v>
      </c>
      <c r="UM24" s="262">
        <v>0</v>
      </c>
      <c r="UN24" s="261">
        <v>0</v>
      </c>
      <c r="UO24" s="261">
        <v>0</v>
      </c>
      <c r="UP24" s="262">
        <v>0</v>
      </c>
      <c r="UQ24" s="261">
        <v>0</v>
      </c>
      <c r="UR24" s="261">
        <v>0</v>
      </c>
      <c r="US24" s="262">
        <v>0</v>
      </c>
      <c r="UT24" s="261">
        <v>0</v>
      </c>
      <c r="UU24" s="261">
        <v>0</v>
      </c>
      <c r="UV24" s="262">
        <v>0</v>
      </c>
      <c r="UW24" s="261">
        <v>0</v>
      </c>
      <c r="UX24" s="261">
        <v>0</v>
      </c>
      <c r="UY24" s="262">
        <v>0</v>
      </c>
      <c r="UZ24" s="261">
        <v>0</v>
      </c>
      <c r="VA24" s="261">
        <v>0</v>
      </c>
      <c r="VB24" s="262">
        <v>0</v>
      </c>
      <c r="VC24" s="261">
        <v>0</v>
      </c>
      <c r="VD24" s="261">
        <v>0</v>
      </c>
      <c r="VE24" s="262">
        <v>0</v>
      </c>
      <c r="VF24" s="261">
        <v>0</v>
      </c>
      <c r="VG24" s="261">
        <v>0</v>
      </c>
      <c r="VH24" s="262">
        <v>0</v>
      </c>
      <c r="VI24" s="261">
        <v>0</v>
      </c>
      <c r="VJ24" s="261">
        <v>0</v>
      </c>
      <c r="VK24" s="262">
        <v>0</v>
      </c>
      <c r="VL24" s="261">
        <v>0</v>
      </c>
      <c r="VM24" s="261">
        <v>0</v>
      </c>
      <c r="VN24" s="263">
        <v>0</v>
      </c>
    </row>
    <row r="25" spans="1:586">
      <c r="A25" s="267" t="s">
        <v>193</v>
      </c>
      <c r="B25" s="261">
        <v>725.64400000000001</v>
      </c>
      <c r="C25" s="261">
        <v>596.71600000000001</v>
      </c>
      <c r="D25" s="262">
        <v>0.21606258253507499</v>
      </c>
      <c r="E25" s="261">
        <v>3672.5239999999999</v>
      </c>
      <c r="F25" s="261">
        <v>3666.22</v>
      </c>
      <c r="G25" s="262">
        <v>1.7194821914669799E-3</v>
      </c>
      <c r="H25" s="261">
        <v>9105.3960000000006</v>
      </c>
      <c r="I25" s="261">
        <v>6371.4620000000004</v>
      </c>
      <c r="J25" s="262">
        <v>0.42909052898691102</v>
      </c>
      <c r="K25" s="261">
        <v>0</v>
      </c>
      <c r="L25" s="261">
        <v>0</v>
      </c>
      <c r="M25" s="262">
        <v>0</v>
      </c>
      <c r="N25" s="261">
        <v>0</v>
      </c>
      <c r="O25" s="261">
        <v>0</v>
      </c>
      <c r="P25" s="262">
        <v>0</v>
      </c>
      <c r="Q25" s="261">
        <v>0</v>
      </c>
      <c r="R25" s="261">
        <v>0</v>
      </c>
      <c r="S25" s="262">
        <v>0</v>
      </c>
      <c r="T25" s="261">
        <v>0</v>
      </c>
      <c r="U25" s="261">
        <v>0</v>
      </c>
      <c r="V25" s="262">
        <v>0</v>
      </c>
      <c r="W25" s="261">
        <v>0</v>
      </c>
      <c r="X25" s="261">
        <v>0</v>
      </c>
      <c r="Y25" s="262">
        <v>0</v>
      </c>
      <c r="Z25" s="261">
        <v>0</v>
      </c>
      <c r="AA25" s="261">
        <v>0</v>
      </c>
      <c r="AB25" s="262">
        <v>0</v>
      </c>
      <c r="AC25" s="261">
        <v>33.307000000000002</v>
      </c>
      <c r="AD25" s="261">
        <v>18.225999999999999</v>
      </c>
      <c r="AE25" s="262">
        <v>0.82744431032590804</v>
      </c>
      <c r="AF25" s="261">
        <v>58.399000000000001</v>
      </c>
      <c r="AG25" s="261">
        <v>32.051000000000002</v>
      </c>
      <c r="AH25" s="262">
        <v>0.82206483417054099</v>
      </c>
      <c r="AI25" s="261">
        <v>169.64699999999999</v>
      </c>
      <c r="AJ25" s="261">
        <v>32.438000000000002</v>
      </c>
      <c r="AK25" s="262">
        <v>4.2298847031259603</v>
      </c>
      <c r="AL25" s="261">
        <v>0</v>
      </c>
      <c r="AM25" s="261">
        <v>0</v>
      </c>
      <c r="AN25" s="262">
        <v>0</v>
      </c>
      <c r="AO25" s="261">
        <v>0</v>
      </c>
      <c r="AP25" s="261">
        <v>0</v>
      </c>
      <c r="AQ25" s="262">
        <v>0</v>
      </c>
      <c r="AR25" s="261">
        <v>0</v>
      </c>
      <c r="AS25" s="261">
        <v>0</v>
      </c>
      <c r="AT25" s="263">
        <v>0</v>
      </c>
      <c r="AU25" s="261">
        <v>822.91600000000005</v>
      </c>
      <c r="AV25" s="261">
        <v>746.32600000000002</v>
      </c>
      <c r="AW25" s="262">
        <v>0.10262271447062001</v>
      </c>
      <c r="AX25" s="261">
        <v>4495.4399999999996</v>
      </c>
      <c r="AY25" s="261">
        <v>4412.5460000000003</v>
      </c>
      <c r="AZ25" s="262">
        <v>1.8785979794884701E-2</v>
      </c>
      <c r="BA25" s="261">
        <v>9181.9860000000008</v>
      </c>
      <c r="BB25" s="261">
        <v>6623.0429999999997</v>
      </c>
      <c r="BC25" s="262">
        <v>0.38636967931508198</v>
      </c>
      <c r="BD25" s="261">
        <v>0</v>
      </c>
      <c r="BE25" s="261">
        <v>0</v>
      </c>
      <c r="BF25" s="262">
        <v>0</v>
      </c>
      <c r="BG25" s="261">
        <v>0</v>
      </c>
      <c r="BH25" s="261">
        <v>0</v>
      </c>
      <c r="BI25" s="262">
        <v>0</v>
      </c>
      <c r="BJ25" s="261">
        <v>0</v>
      </c>
      <c r="BK25" s="261">
        <v>0</v>
      </c>
      <c r="BL25" s="262">
        <v>0</v>
      </c>
      <c r="BM25" s="261">
        <v>0</v>
      </c>
      <c r="BN25" s="261">
        <v>0</v>
      </c>
      <c r="BO25" s="262">
        <v>0</v>
      </c>
      <c r="BP25" s="261">
        <v>0</v>
      </c>
      <c r="BQ25" s="261">
        <v>0</v>
      </c>
      <c r="BR25" s="262">
        <v>0</v>
      </c>
      <c r="BS25" s="261">
        <v>0</v>
      </c>
      <c r="BT25" s="261">
        <v>0</v>
      </c>
      <c r="BU25" s="262">
        <v>0</v>
      </c>
      <c r="BV25" s="261">
        <v>25.803999999999998</v>
      </c>
      <c r="BW25" s="261">
        <v>0</v>
      </c>
      <c r="BX25" s="262">
        <v>0</v>
      </c>
      <c r="BY25" s="261">
        <v>84.203000000000003</v>
      </c>
      <c r="BZ25" s="261">
        <v>32.051000000000002</v>
      </c>
      <c r="CA25" s="262">
        <v>1.6271567189791301</v>
      </c>
      <c r="CB25" s="261">
        <v>195.45099999999999</v>
      </c>
      <c r="CC25" s="261">
        <v>32.438000000000002</v>
      </c>
      <c r="CD25" s="262">
        <v>5.0253714778962904</v>
      </c>
      <c r="CE25" s="261">
        <v>0</v>
      </c>
      <c r="CF25" s="261">
        <v>0</v>
      </c>
      <c r="CG25" s="262">
        <v>0</v>
      </c>
      <c r="CH25" s="261">
        <v>0</v>
      </c>
      <c r="CI25" s="261">
        <v>0</v>
      </c>
      <c r="CJ25" s="262">
        <v>0</v>
      </c>
      <c r="CK25" s="261">
        <v>0</v>
      </c>
      <c r="CL25" s="261">
        <v>0</v>
      </c>
      <c r="CM25" s="263">
        <v>0</v>
      </c>
      <c r="CN25" s="261">
        <v>513.92600000000004</v>
      </c>
      <c r="CO25" s="261">
        <v>983.75599999999997</v>
      </c>
      <c r="CP25" s="262">
        <v>-0.47758793847254799</v>
      </c>
      <c r="CQ25" s="261">
        <v>5009.366</v>
      </c>
      <c r="CR25" s="261">
        <v>5396.3019999999997</v>
      </c>
      <c r="CS25" s="262">
        <v>-7.1703918720634904E-2</v>
      </c>
      <c r="CT25" s="261">
        <v>8712.1560000000009</v>
      </c>
      <c r="CU25" s="261">
        <v>7269.7240000000002</v>
      </c>
      <c r="CV25" s="262">
        <v>0.19841633602596201</v>
      </c>
      <c r="CW25" s="261">
        <v>0</v>
      </c>
      <c r="CX25" s="261">
        <v>0</v>
      </c>
      <c r="CY25" s="262">
        <v>0</v>
      </c>
      <c r="CZ25" s="261">
        <v>0</v>
      </c>
      <c r="DA25" s="261">
        <v>0</v>
      </c>
      <c r="DB25" s="262">
        <v>0</v>
      </c>
      <c r="DC25" s="261">
        <v>0</v>
      </c>
      <c r="DD25" s="261">
        <v>0</v>
      </c>
      <c r="DE25" s="262">
        <v>0</v>
      </c>
      <c r="DF25" s="261">
        <v>0</v>
      </c>
      <c r="DG25" s="261">
        <v>0</v>
      </c>
      <c r="DH25" s="262">
        <v>0</v>
      </c>
      <c r="DI25" s="261">
        <v>0</v>
      </c>
      <c r="DJ25" s="261">
        <v>0</v>
      </c>
      <c r="DK25" s="262">
        <v>0</v>
      </c>
      <c r="DL25" s="261">
        <v>0</v>
      </c>
      <c r="DM25" s="261">
        <v>0</v>
      </c>
      <c r="DN25" s="262">
        <v>0</v>
      </c>
      <c r="DO25" s="261">
        <v>0</v>
      </c>
      <c r="DP25" s="261">
        <v>0</v>
      </c>
      <c r="DQ25" s="262">
        <v>0</v>
      </c>
      <c r="DR25" s="261">
        <v>84.203000000000003</v>
      </c>
      <c r="DS25" s="261">
        <v>32.051000000000002</v>
      </c>
      <c r="DT25" s="262">
        <v>1.6271567189791301</v>
      </c>
      <c r="DU25" s="261">
        <v>195.45099999999999</v>
      </c>
      <c r="DV25" s="261">
        <v>32.438000000000002</v>
      </c>
      <c r="DW25" s="262">
        <v>5.0253714778962904</v>
      </c>
      <c r="DX25" s="261">
        <v>0</v>
      </c>
      <c r="DY25" s="261">
        <v>0</v>
      </c>
      <c r="DZ25" s="262">
        <v>0</v>
      </c>
      <c r="EA25" s="261">
        <v>0</v>
      </c>
      <c r="EB25" s="261">
        <v>0</v>
      </c>
      <c r="EC25" s="262">
        <v>0</v>
      </c>
      <c r="ED25" s="261">
        <v>0</v>
      </c>
      <c r="EE25" s="261">
        <v>0</v>
      </c>
      <c r="EF25" s="263">
        <v>0</v>
      </c>
      <c r="EG25" s="261">
        <v>600.81500000000005</v>
      </c>
      <c r="EH25" s="261">
        <v>672.63900000000001</v>
      </c>
      <c r="EI25" s="262">
        <v>-0.106779416596421</v>
      </c>
      <c r="EJ25" s="261">
        <v>5610.1809999999996</v>
      </c>
      <c r="EK25" s="261">
        <v>6068.9409999999998</v>
      </c>
      <c r="EL25" s="262">
        <v>-7.5591441735881101E-2</v>
      </c>
      <c r="EM25" s="261">
        <v>8640.3320000000003</v>
      </c>
      <c r="EN25" s="261">
        <v>7644.5290000000005</v>
      </c>
      <c r="EO25" s="262">
        <v>0.130263486475099</v>
      </c>
      <c r="EP25" s="261">
        <v>0</v>
      </c>
      <c r="EQ25" s="261">
        <v>0</v>
      </c>
      <c r="ER25" s="262">
        <v>0</v>
      </c>
      <c r="ES25" s="261">
        <v>0</v>
      </c>
      <c r="ET25" s="261">
        <v>0</v>
      </c>
      <c r="EU25" s="262">
        <v>0</v>
      </c>
      <c r="EV25" s="261">
        <v>0</v>
      </c>
      <c r="EW25" s="261">
        <v>0</v>
      </c>
      <c r="EX25" s="262">
        <v>0</v>
      </c>
      <c r="EY25" s="261">
        <v>0</v>
      </c>
      <c r="EZ25" s="261">
        <v>0</v>
      </c>
      <c r="FA25" s="262">
        <v>0</v>
      </c>
      <c r="FB25" s="261">
        <v>0</v>
      </c>
      <c r="FC25" s="261">
        <v>0</v>
      </c>
      <c r="FD25" s="262">
        <v>0</v>
      </c>
      <c r="FE25" s="261">
        <v>0</v>
      </c>
      <c r="FF25" s="261">
        <v>0</v>
      </c>
      <c r="FG25" s="262">
        <v>0</v>
      </c>
      <c r="FH25" s="261">
        <v>2.65</v>
      </c>
      <c r="FI25" s="261">
        <v>0.47499999999999998</v>
      </c>
      <c r="FJ25" s="262">
        <v>4.5789473684210504</v>
      </c>
      <c r="FK25" s="261">
        <v>86.852999999999994</v>
      </c>
      <c r="FL25" s="261">
        <v>32.526000000000003</v>
      </c>
      <c r="FM25" s="262">
        <v>1.6702637889688201</v>
      </c>
      <c r="FN25" s="261">
        <v>197.626</v>
      </c>
      <c r="FO25" s="261">
        <v>32.912999999999997</v>
      </c>
      <c r="FP25" s="262">
        <v>5.0044967034302603</v>
      </c>
      <c r="FQ25" s="261">
        <v>0</v>
      </c>
      <c r="FR25" s="261">
        <v>0</v>
      </c>
      <c r="FS25" s="262">
        <v>0</v>
      </c>
      <c r="FT25" s="261">
        <v>0</v>
      </c>
      <c r="FU25" s="261">
        <v>0</v>
      </c>
      <c r="FV25" s="262">
        <v>0</v>
      </c>
      <c r="FW25" s="261">
        <v>0</v>
      </c>
      <c r="FX25" s="261">
        <v>0</v>
      </c>
      <c r="FY25" s="263">
        <v>0</v>
      </c>
      <c r="FZ25" s="261">
        <v>498.51799999999997</v>
      </c>
      <c r="GA25" s="261">
        <v>1070.81</v>
      </c>
      <c r="GB25" s="262">
        <v>-0.53444775450360005</v>
      </c>
      <c r="GC25" s="261">
        <v>6108.6989999999996</v>
      </c>
      <c r="GD25" s="261">
        <v>7139.7510000000002</v>
      </c>
      <c r="GE25" s="262">
        <v>-0.14441007816659199</v>
      </c>
      <c r="GF25" s="261">
        <v>8068.04</v>
      </c>
      <c r="GG25" s="261">
        <v>8192.4609999999993</v>
      </c>
      <c r="GH25" s="262">
        <v>-1.51872556976468E-2</v>
      </c>
      <c r="GI25" s="261">
        <v>0</v>
      </c>
      <c r="GJ25" s="261">
        <v>0</v>
      </c>
      <c r="GK25" s="262">
        <v>0</v>
      </c>
      <c r="GL25" s="261">
        <v>0</v>
      </c>
      <c r="GM25" s="261">
        <v>0</v>
      </c>
      <c r="GN25" s="262">
        <v>0</v>
      </c>
      <c r="GO25" s="261">
        <v>0</v>
      </c>
      <c r="GP25" s="261">
        <v>0</v>
      </c>
      <c r="GQ25" s="262">
        <v>0</v>
      </c>
      <c r="GR25" s="261">
        <v>0</v>
      </c>
      <c r="GS25" s="261">
        <v>0</v>
      </c>
      <c r="GT25" s="262">
        <v>0</v>
      </c>
      <c r="GU25" s="261">
        <v>0</v>
      </c>
      <c r="GV25" s="261">
        <v>0</v>
      </c>
      <c r="GW25" s="262">
        <v>0</v>
      </c>
      <c r="GX25" s="261">
        <v>0</v>
      </c>
      <c r="GY25" s="261">
        <v>0</v>
      </c>
      <c r="GZ25" s="262">
        <v>0</v>
      </c>
      <c r="HA25" s="261">
        <v>1.1020000000000001</v>
      </c>
      <c r="HB25" s="261">
        <v>56.972999999999999</v>
      </c>
      <c r="HC25" s="262">
        <v>-0.98065750443192401</v>
      </c>
      <c r="HD25" s="261">
        <v>87.954999999999998</v>
      </c>
      <c r="HE25" s="261">
        <v>89.498999999999995</v>
      </c>
      <c r="HF25" s="262">
        <v>-1.72515894032335E-2</v>
      </c>
      <c r="HG25" s="261">
        <v>141.755</v>
      </c>
      <c r="HH25" s="261">
        <v>89.885999999999996</v>
      </c>
      <c r="HI25" s="262">
        <v>0.577053156220101</v>
      </c>
      <c r="HJ25" s="261">
        <v>0.63</v>
      </c>
      <c r="HK25" s="261">
        <v>0</v>
      </c>
      <c r="HL25" s="262">
        <v>0</v>
      </c>
      <c r="HM25" s="261">
        <v>0.63</v>
      </c>
      <c r="HN25" s="261">
        <v>0</v>
      </c>
      <c r="HO25" s="262">
        <v>0</v>
      </c>
      <c r="HP25" s="261">
        <v>0.63</v>
      </c>
      <c r="HQ25" s="261">
        <v>0</v>
      </c>
      <c r="HR25" s="263">
        <v>0</v>
      </c>
      <c r="HS25" s="261">
        <v>502.33199999999999</v>
      </c>
      <c r="HT25" s="261">
        <v>1366.6769999999999</v>
      </c>
      <c r="HU25" s="262">
        <v>-0.63244277909118296</v>
      </c>
      <c r="HV25" s="261">
        <v>6611.0309999999999</v>
      </c>
      <c r="HW25" s="261">
        <v>8506.4279999999999</v>
      </c>
      <c r="HX25" s="262">
        <v>-0.22281937847472499</v>
      </c>
      <c r="HY25" s="261">
        <v>7203.6949999999997</v>
      </c>
      <c r="HZ25" s="261">
        <v>9143.7009999999991</v>
      </c>
      <c r="IA25" s="262">
        <v>-0.21216857375366899</v>
      </c>
      <c r="IB25" s="261">
        <v>0</v>
      </c>
      <c r="IC25" s="261">
        <v>0</v>
      </c>
      <c r="ID25" s="262">
        <v>0</v>
      </c>
      <c r="IE25" s="261">
        <v>0</v>
      </c>
      <c r="IF25" s="261">
        <v>0</v>
      </c>
      <c r="IG25" s="262">
        <v>0</v>
      </c>
      <c r="IH25" s="261">
        <v>0</v>
      </c>
      <c r="II25" s="261">
        <v>0</v>
      </c>
      <c r="IJ25" s="262">
        <v>0</v>
      </c>
      <c r="IK25" s="261">
        <v>0</v>
      </c>
      <c r="IL25" s="261">
        <v>0</v>
      </c>
      <c r="IM25" s="262">
        <v>0</v>
      </c>
      <c r="IN25" s="261">
        <v>0</v>
      </c>
      <c r="IO25" s="261">
        <v>0</v>
      </c>
      <c r="IP25" s="262">
        <v>0</v>
      </c>
      <c r="IQ25" s="261">
        <v>0</v>
      </c>
      <c r="IR25" s="261">
        <v>0</v>
      </c>
      <c r="IS25" s="262">
        <v>0</v>
      </c>
      <c r="IT25" s="261">
        <v>1.536</v>
      </c>
      <c r="IU25" s="261">
        <v>43.603000000000002</v>
      </c>
      <c r="IV25" s="262">
        <v>-0.96477306607343505</v>
      </c>
      <c r="IW25" s="261">
        <v>89.491</v>
      </c>
      <c r="IX25" s="261">
        <v>133.102</v>
      </c>
      <c r="IY25" s="262">
        <v>-0.327650974440655</v>
      </c>
      <c r="IZ25" s="261">
        <v>99.688000000000002</v>
      </c>
      <c r="JA25" s="261">
        <v>133.489</v>
      </c>
      <c r="JB25" s="262">
        <v>-0.25321187513577897</v>
      </c>
      <c r="JC25" s="261">
        <v>5.5780000000000003</v>
      </c>
      <c r="JD25" s="261">
        <v>0</v>
      </c>
      <c r="JE25" s="262">
        <v>0</v>
      </c>
      <c r="JF25" s="261">
        <v>6.2080000000000002</v>
      </c>
      <c r="JG25" s="261">
        <v>0</v>
      </c>
      <c r="JH25" s="262">
        <v>0</v>
      </c>
      <c r="JI25" s="261">
        <v>6.2080000000000002</v>
      </c>
      <c r="JJ25" s="261">
        <v>0</v>
      </c>
      <c r="JK25" s="263">
        <v>0</v>
      </c>
      <c r="JL25" s="261">
        <v>797.06</v>
      </c>
      <c r="JM25" s="261">
        <v>592.66399999999999</v>
      </c>
      <c r="JN25" s="262">
        <v>0.34487669235857099</v>
      </c>
      <c r="JO25" s="261">
        <v>7408.0910000000003</v>
      </c>
      <c r="JP25" s="261">
        <v>9099.0920000000006</v>
      </c>
      <c r="JQ25" s="262">
        <v>-0.18584282915262301</v>
      </c>
      <c r="JR25" s="261">
        <v>7408.0910000000003</v>
      </c>
      <c r="JS25" s="261">
        <v>9099.0920000000006</v>
      </c>
      <c r="JT25" s="262">
        <v>-0.18584282915262301</v>
      </c>
      <c r="JU25" s="261">
        <v>0</v>
      </c>
      <c r="JV25" s="261">
        <v>0</v>
      </c>
      <c r="JW25" s="262">
        <v>0</v>
      </c>
      <c r="JX25" s="261">
        <v>0</v>
      </c>
      <c r="JY25" s="261">
        <v>0</v>
      </c>
      <c r="JZ25" s="262">
        <v>0</v>
      </c>
      <c r="KA25" s="261">
        <v>0</v>
      </c>
      <c r="KB25" s="261">
        <v>0</v>
      </c>
      <c r="KC25" s="262">
        <v>0</v>
      </c>
      <c r="KD25" s="261">
        <v>0</v>
      </c>
      <c r="KE25" s="261">
        <v>0</v>
      </c>
      <c r="KF25" s="262">
        <v>0</v>
      </c>
      <c r="KG25" s="261">
        <v>0</v>
      </c>
      <c r="KH25" s="261">
        <v>0</v>
      </c>
      <c r="KI25" s="262">
        <v>0</v>
      </c>
      <c r="KJ25" s="261">
        <v>0</v>
      </c>
      <c r="KK25" s="261">
        <v>0</v>
      </c>
      <c r="KL25" s="262">
        <v>0</v>
      </c>
      <c r="KM25" s="261">
        <v>0</v>
      </c>
      <c r="KN25" s="261">
        <v>10.196999999999999</v>
      </c>
      <c r="KO25" s="262">
        <v>-1</v>
      </c>
      <c r="KP25" s="261">
        <v>89.491</v>
      </c>
      <c r="KQ25" s="261">
        <v>143.29900000000001</v>
      </c>
      <c r="KR25" s="262">
        <v>-0.37549459521699402</v>
      </c>
      <c r="KS25" s="261">
        <v>89.491</v>
      </c>
      <c r="KT25" s="261">
        <v>143.29900000000001</v>
      </c>
      <c r="KU25" s="262">
        <v>-0.37549459521699402</v>
      </c>
      <c r="KV25" s="261">
        <v>0.106</v>
      </c>
      <c r="KW25" s="261">
        <v>0</v>
      </c>
      <c r="KX25" s="262">
        <v>0</v>
      </c>
      <c r="KY25" s="261">
        <v>6.3140000000000001</v>
      </c>
      <c r="KZ25" s="261">
        <v>0</v>
      </c>
      <c r="LA25" s="262">
        <v>0</v>
      </c>
      <c r="LB25" s="261">
        <v>6.3140000000000001</v>
      </c>
      <c r="LC25" s="261">
        <v>0</v>
      </c>
      <c r="LD25" s="263">
        <v>0</v>
      </c>
      <c r="LE25" s="261">
        <v>915.77300000000002</v>
      </c>
      <c r="LF25" s="261">
        <v>771.96299999999997</v>
      </c>
      <c r="LG25" s="262">
        <v>0.18629131188930001</v>
      </c>
      <c r="LH25" s="261">
        <v>915.77300000000002</v>
      </c>
      <c r="LI25" s="261">
        <v>771.96299999999997</v>
      </c>
      <c r="LJ25" s="262">
        <v>0.18629131188930001</v>
      </c>
      <c r="LK25" s="261">
        <v>7551.9009999999998</v>
      </c>
      <c r="LL25" s="261">
        <v>9219.7839999999997</v>
      </c>
      <c r="LM25" s="262">
        <v>-0.18090261116746301</v>
      </c>
      <c r="LN25" s="261">
        <v>0</v>
      </c>
      <c r="LO25" s="261">
        <v>0</v>
      </c>
      <c r="LP25" s="262">
        <v>0</v>
      </c>
      <c r="LQ25" s="261">
        <v>0</v>
      </c>
      <c r="LR25" s="261">
        <v>0</v>
      </c>
      <c r="LS25" s="262">
        <v>0</v>
      </c>
      <c r="LT25" s="261">
        <v>0</v>
      </c>
      <c r="LU25" s="261">
        <v>0</v>
      </c>
      <c r="LV25" s="262">
        <v>0</v>
      </c>
      <c r="LW25" s="261">
        <v>0</v>
      </c>
      <c r="LX25" s="261">
        <v>0</v>
      </c>
      <c r="LY25" s="262">
        <v>0</v>
      </c>
      <c r="LZ25" s="261">
        <v>0</v>
      </c>
      <c r="MA25" s="261">
        <v>0</v>
      </c>
      <c r="MB25" s="262">
        <v>0</v>
      </c>
      <c r="MC25" s="261">
        <v>0</v>
      </c>
      <c r="MD25" s="261">
        <v>0</v>
      </c>
      <c r="ME25" s="262">
        <v>0</v>
      </c>
      <c r="MF25" s="261">
        <v>0</v>
      </c>
      <c r="MG25" s="261">
        <v>5.3209999999999997</v>
      </c>
      <c r="MH25" s="262">
        <v>-1</v>
      </c>
      <c r="MI25" s="261">
        <v>0</v>
      </c>
      <c r="MJ25" s="261">
        <v>5.3209999999999997</v>
      </c>
      <c r="MK25" s="262">
        <v>-1</v>
      </c>
      <c r="ML25" s="261">
        <v>84.17</v>
      </c>
      <c r="MM25" s="261">
        <v>145.69800000000001</v>
      </c>
      <c r="MN25" s="262">
        <v>-0.42229817842386302</v>
      </c>
      <c r="MO25" s="261">
        <v>1E-3</v>
      </c>
      <c r="MP25" s="261">
        <v>0</v>
      </c>
      <c r="MQ25" s="262">
        <v>0</v>
      </c>
      <c r="MR25" s="261">
        <v>1E-3</v>
      </c>
      <c r="MS25" s="261">
        <v>0</v>
      </c>
      <c r="MT25" s="262">
        <v>0</v>
      </c>
      <c r="MU25" s="261">
        <v>6.3150000000000004</v>
      </c>
      <c r="MV25" s="261">
        <v>0</v>
      </c>
      <c r="MW25" s="263">
        <v>0</v>
      </c>
      <c r="MX25" s="261">
        <v>1096.5150000000001</v>
      </c>
      <c r="MY25" s="261">
        <v>506.80900000000003</v>
      </c>
      <c r="MZ25" s="262">
        <v>1.1635665507124</v>
      </c>
      <c r="NA25" s="261">
        <v>2012.288</v>
      </c>
      <c r="NB25" s="261">
        <v>1278.7719999999999</v>
      </c>
      <c r="NC25" s="262">
        <v>0.57360968178846605</v>
      </c>
      <c r="ND25" s="261">
        <v>8141.607</v>
      </c>
      <c r="NE25" s="261">
        <v>9101.7639999999992</v>
      </c>
      <c r="NF25" s="262">
        <v>-0.105491309157214</v>
      </c>
      <c r="NG25" s="261">
        <v>0</v>
      </c>
      <c r="NH25" s="261">
        <v>0</v>
      </c>
      <c r="NI25" s="262">
        <v>0</v>
      </c>
      <c r="NJ25" s="261">
        <v>0</v>
      </c>
      <c r="NK25" s="261">
        <v>0</v>
      </c>
      <c r="NL25" s="262">
        <v>0</v>
      </c>
      <c r="NM25" s="261">
        <v>0</v>
      </c>
      <c r="NN25" s="261">
        <v>0</v>
      </c>
      <c r="NO25" s="262">
        <v>0</v>
      </c>
      <c r="NP25" s="261">
        <v>0</v>
      </c>
      <c r="NQ25" s="261">
        <v>0</v>
      </c>
      <c r="NR25" s="262">
        <v>0</v>
      </c>
      <c r="NS25" s="261">
        <v>0</v>
      </c>
      <c r="NT25" s="261">
        <v>0</v>
      </c>
      <c r="NU25" s="262">
        <v>0</v>
      </c>
      <c r="NV25" s="261">
        <v>0</v>
      </c>
      <c r="NW25" s="261">
        <v>0</v>
      </c>
      <c r="NX25" s="262">
        <v>0</v>
      </c>
      <c r="NY25" s="261">
        <v>0</v>
      </c>
      <c r="NZ25" s="261">
        <v>9.2089999999999996</v>
      </c>
      <c r="OA25" s="262">
        <v>-1</v>
      </c>
      <c r="OB25" s="261">
        <v>0</v>
      </c>
      <c r="OC25" s="261">
        <v>14.53</v>
      </c>
      <c r="OD25" s="262">
        <v>-1</v>
      </c>
      <c r="OE25" s="261">
        <v>74.960999999999999</v>
      </c>
      <c r="OF25" s="261">
        <v>154.90700000000001</v>
      </c>
      <c r="OG25" s="262">
        <v>-0.51609029934089501</v>
      </c>
      <c r="OH25" s="261">
        <v>37.018999999999998</v>
      </c>
      <c r="OI25" s="261">
        <v>0</v>
      </c>
      <c r="OJ25" s="262">
        <v>0</v>
      </c>
      <c r="OK25" s="261">
        <v>37.020000000000003</v>
      </c>
      <c r="OL25" s="261">
        <v>0</v>
      </c>
      <c r="OM25" s="262">
        <v>0</v>
      </c>
      <c r="ON25" s="261">
        <v>43.334000000000003</v>
      </c>
      <c r="OO25" s="261">
        <v>0</v>
      </c>
      <c r="OP25" s="263">
        <v>0</v>
      </c>
      <c r="OQ25" s="261">
        <v>1485.7809999999999</v>
      </c>
      <c r="OR25" s="261">
        <v>407.91800000000001</v>
      </c>
      <c r="OS25" s="262">
        <v>2.64235213940057</v>
      </c>
      <c r="OT25" s="261">
        <v>3498.069</v>
      </c>
      <c r="OU25" s="261">
        <v>1686.69</v>
      </c>
      <c r="OV25" s="262">
        <v>1.07392526190349</v>
      </c>
      <c r="OW25" s="261">
        <v>9219.4699999999993</v>
      </c>
      <c r="OX25" s="261">
        <v>8932.3179999999993</v>
      </c>
      <c r="OY25" s="262">
        <v>3.2147534380213498E-2</v>
      </c>
      <c r="OZ25" s="261">
        <v>0</v>
      </c>
      <c r="PA25" s="261">
        <v>0</v>
      </c>
      <c r="PB25" s="262">
        <v>0</v>
      </c>
      <c r="PC25" s="261">
        <v>0</v>
      </c>
      <c r="PD25" s="261">
        <v>0</v>
      </c>
      <c r="PE25" s="262">
        <v>0</v>
      </c>
      <c r="PF25" s="261">
        <v>0</v>
      </c>
      <c r="PG25" s="261">
        <v>0</v>
      </c>
      <c r="PH25" s="262">
        <v>0</v>
      </c>
      <c r="PI25" s="261">
        <v>0</v>
      </c>
      <c r="PJ25" s="261">
        <v>0</v>
      </c>
      <c r="PK25" s="262">
        <v>0</v>
      </c>
      <c r="PL25" s="261">
        <v>0</v>
      </c>
      <c r="PM25" s="261">
        <v>0</v>
      </c>
      <c r="PN25" s="262">
        <v>0</v>
      </c>
      <c r="PO25" s="261">
        <v>0</v>
      </c>
      <c r="PP25" s="261">
        <v>0</v>
      </c>
      <c r="PQ25" s="262">
        <v>0</v>
      </c>
      <c r="PR25" s="261">
        <v>0</v>
      </c>
      <c r="PS25" s="261">
        <v>1.5620000000000001</v>
      </c>
      <c r="PT25" s="262">
        <v>-1</v>
      </c>
      <c r="PU25" s="261">
        <v>0</v>
      </c>
      <c r="PV25" s="261">
        <v>16.091999999999999</v>
      </c>
      <c r="PW25" s="262">
        <v>-1</v>
      </c>
      <c r="PX25" s="261">
        <v>73.399000000000001</v>
      </c>
      <c r="PY25" s="261">
        <v>154.14699999999999</v>
      </c>
      <c r="PZ25" s="262">
        <v>-0.52383763550377205</v>
      </c>
      <c r="QA25" s="261">
        <v>4.2000000000000003E-2</v>
      </c>
      <c r="QB25" s="261">
        <v>0</v>
      </c>
      <c r="QC25" s="262">
        <v>0</v>
      </c>
      <c r="QD25" s="261">
        <v>37.061999999999998</v>
      </c>
      <c r="QE25" s="261">
        <v>0</v>
      </c>
      <c r="QF25" s="262">
        <v>0</v>
      </c>
      <c r="QG25" s="261">
        <v>43.375999999999998</v>
      </c>
      <c r="QH25" s="261">
        <v>0</v>
      </c>
      <c r="QI25" s="263">
        <v>0</v>
      </c>
      <c r="QJ25" s="261">
        <v>1423.24</v>
      </c>
      <c r="QK25" s="261">
        <v>450.09300000000002</v>
      </c>
      <c r="QL25" s="262">
        <v>2.1621020544643001</v>
      </c>
      <c r="QM25" s="261">
        <v>4921.3090000000002</v>
      </c>
      <c r="QN25" s="261">
        <v>2136.7829999999999</v>
      </c>
      <c r="QO25" s="262">
        <v>1.30313934545529</v>
      </c>
      <c r="QP25" s="261">
        <v>10192.617</v>
      </c>
      <c r="QQ25" s="261">
        <v>8826.1039999999994</v>
      </c>
      <c r="QR25" s="262">
        <v>0.15482629708419501</v>
      </c>
      <c r="QS25" s="261">
        <v>0</v>
      </c>
      <c r="QT25" s="261">
        <v>0</v>
      </c>
      <c r="QU25" s="262">
        <v>0</v>
      </c>
      <c r="QV25" s="261">
        <v>0</v>
      </c>
      <c r="QW25" s="261">
        <v>0</v>
      </c>
      <c r="QX25" s="262">
        <v>0</v>
      </c>
      <c r="QY25" s="261">
        <v>0</v>
      </c>
      <c r="QZ25" s="261">
        <v>0</v>
      </c>
      <c r="RA25" s="262">
        <v>0</v>
      </c>
      <c r="RB25" s="261">
        <v>0</v>
      </c>
      <c r="RC25" s="261">
        <v>0</v>
      </c>
      <c r="RD25" s="262">
        <v>0</v>
      </c>
      <c r="RE25" s="261">
        <v>0</v>
      </c>
      <c r="RF25" s="261">
        <v>0</v>
      </c>
      <c r="RG25" s="262">
        <v>0</v>
      </c>
      <c r="RH25" s="261">
        <v>0</v>
      </c>
      <c r="RI25" s="261">
        <v>0</v>
      </c>
      <c r="RJ25" s="262">
        <v>0</v>
      </c>
      <c r="RK25" s="261">
        <v>0</v>
      </c>
      <c r="RL25" s="261">
        <v>0.98099999999999998</v>
      </c>
      <c r="RM25" s="262">
        <v>-1</v>
      </c>
      <c r="RN25" s="261">
        <v>0</v>
      </c>
      <c r="RO25" s="261">
        <v>17.073</v>
      </c>
      <c r="RP25" s="262">
        <v>-1</v>
      </c>
      <c r="RQ25" s="261">
        <v>72.418000000000006</v>
      </c>
      <c r="RR25" s="261">
        <v>155.12799999999999</v>
      </c>
      <c r="RS25" s="262">
        <v>-0.53317260584807402</v>
      </c>
      <c r="RT25" s="261">
        <v>0</v>
      </c>
      <c r="RU25" s="261">
        <v>0</v>
      </c>
      <c r="RV25" s="262">
        <v>0</v>
      </c>
      <c r="RW25" s="261">
        <v>37.061999999999998</v>
      </c>
      <c r="RX25" s="261">
        <v>0</v>
      </c>
      <c r="RY25" s="262">
        <v>0</v>
      </c>
      <c r="RZ25" s="261">
        <v>43.375999999999998</v>
      </c>
      <c r="SA25" s="261">
        <v>0</v>
      </c>
      <c r="SB25" s="263">
        <v>0</v>
      </c>
      <c r="SC25" s="261">
        <v>1500.38</v>
      </c>
      <c r="SD25" s="261">
        <v>810.09699999999998</v>
      </c>
      <c r="SE25" s="262">
        <v>0.85209919305959703</v>
      </c>
      <c r="SF25" s="261">
        <v>6421.6890000000003</v>
      </c>
      <c r="SG25" s="261">
        <v>2946.88</v>
      </c>
      <c r="SH25" s="262">
        <v>1.1791484553154501</v>
      </c>
      <c r="SI25" s="261">
        <v>10882.9</v>
      </c>
      <c r="SJ25" s="261">
        <v>8976.4680000000008</v>
      </c>
      <c r="SK25" s="262">
        <v>0.212381083517481</v>
      </c>
      <c r="SL25" s="261">
        <v>0</v>
      </c>
      <c r="SM25" s="261">
        <v>0</v>
      </c>
      <c r="SN25" s="262">
        <v>0</v>
      </c>
      <c r="SO25" s="261">
        <v>0</v>
      </c>
      <c r="SP25" s="261">
        <v>0</v>
      </c>
      <c r="SQ25" s="262">
        <v>0</v>
      </c>
      <c r="SR25" s="261">
        <v>0</v>
      </c>
      <c r="SS25" s="261">
        <v>0</v>
      </c>
      <c r="ST25" s="262">
        <v>0</v>
      </c>
      <c r="SU25" s="261">
        <v>0</v>
      </c>
      <c r="SV25" s="261">
        <v>0</v>
      </c>
      <c r="SW25" s="262">
        <v>0</v>
      </c>
      <c r="SX25" s="261">
        <v>0</v>
      </c>
      <c r="SY25" s="261">
        <v>0</v>
      </c>
      <c r="SZ25" s="262">
        <v>0</v>
      </c>
      <c r="TA25" s="261">
        <v>0</v>
      </c>
      <c r="TB25" s="261">
        <v>0</v>
      </c>
      <c r="TC25" s="262">
        <v>0</v>
      </c>
      <c r="TD25" s="261">
        <v>0</v>
      </c>
      <c r="TE25" s="261">
        <v>8.0190000000000001</v>
      </c>
      <c r="TF25" s="262">
        <v>-1</v>
      </c>
      <c r="TG25" s="261">
        <v>0</v>
      </c>
      <c r="TH25" s="261">
        <v>25.091999999999999</v>
      </c>
      <c r="TI25" s="262">
        <v>-1</v>
      </c>
      <c r="TJ25" s="261">
        <v>64.399000000000001</v>
      </c>
      <c r="TK25" s="261">
        <v>154.566</v>
      </c>
      <c r="TL25" s="262">
        <v>-0.58335597738182998</v>
      </c>
      <c r="TM25" s="261">
        <v>7.093</v>
      </c>
      <c r="TN25" s="261">
        <v>0</v>
      </c>
      <c r="TO25" s="262">
        <v>0</v>
      </c>
      <c r="TP25" s="261">
        <v>44.155000000000001</v>
      </c>
      <c r="TQ25" s="261">
        <v>0</v>
      </c>
      <c r="TR25" s="262">
        <v>0</v>
      </c>
      <c r="TS25" s="261">
        <v>50.469000000000001</v>
      </c>
      <c r="TT25" s="261">
        <v>0</v>
      </c>
      <c r="TU25" s="263">
        <v>0</v>
      </c>
      <c r="TV25" s="261">
        <v>1344.2329999999999</v>
      </c>
      <c r="TW25" s="261">
        <v>725.64400000000001</v>
      </c>
      <c r="TX25" s="262">
        <v>0.85246897927909604</v>
      </c>
      <c r="TY25" s="261">
        <v>7765.9219999999996</v>
      </c>
      <c r="TZ25" s="261">
        <v>3672.5239999999999</v>
      </c>
      <c r="UA25" s="262">
        <v>1.1146007486948999</v>
      </c>
      <c r="UB25" s="261">
        <v>11501.489</v>
      </c>
      <c r="UC25" s="261">
        <v>9105.3960000000006</v>
      </c>
      <c r="UD25" s="262">
        <v>0.26315088327844299</v>
      </c>
      <c r="UE25" s="261">
        <v>0</v>
      </c>
      <c r="UF25" s="261">
        <v>0</v>
      </c>
      <c r="UG25" s="262">
        <v>0</v>
      </c>
      <c r="UH25" s="261">
        <v>0</v>
      </c>
      <c r="UI25" s="261">
        <v>0</v>
      </c>
      <c r="UJ25" s="262">
        <v>0</v>
      </c>
      <c r="UK25" s="261">
        <v>0</v>
      </c>
      <c r="UL25" s="261">
        <v>0</v>
      </c>
      <c r="UM25" s="262">
        <v>0</v>
      </c>
      <c r="UN25" s="261">
        <v>0</v>
      </c>
      <c r="UO25" s="261">
        <v>0</v>
      </c>
      <c r="UP25" s="262">
        <v>0</v>
      </c>
      <c r="UQ25" s="261">
        <v>0</v>
      </c>
      <c r="UR25" s="261">
        <v>0</v>
      </c>
      <c r="US25" s="262">
        <v>0</v>
      </c>
      <c r="UT25" s="261">
        <v>0</v>
      </c>
      <c r="UU25" s="261">
        <v>0</v>
      </c>
      <c r="UV25" s="262">
        <v>0</v>
      </c>
      <c r="UW25" s="261">
        <v>0</v>
      </c>
      <c r="UX25" s="261">
        <v>33.307000000000002</v>
      </c>
      <c r="UY25" s="262">
        <v>-1</v>
      </c>
      <c r="UZ25" s="261">
        <v>0</v>
      </c>
      <c r="VA25" s="261">
        <v>58.399000000000001</v>
      </c>
      <c r="VB25" s="262">
        <v>-1</v>
      </c>
      <c r="VC25" s="261">
        <v>31.091999999999999</v>
      </c>
      <c r="VD25" s="261">
        <v>169.64699999999999</v>
      </c>
      <c r="VE25" s="262">
        <v>-0.81672531786592195</v>
      </c>
      <c r="VF25" s="261">
        <v>1E-3</v>
      </c>
      <c r="VG25" s="261">
        <v>0</v>
      </c>
      <c r="VH25" s="262">
        <v>0</v>
      </c>
      <c r="VI25" s="261">
        <v>44.155999999999999</v>
      </c>
      <c r="VJ25" s="261">
        <v>0</v>
      </c>
      <c r="VK25" s="262">
        <v>0</v>
      </c>
      <c r="VL25" s="261">
        <v>50.47</v>
      </c>
      <c r="VM25" s="261">
        <v>0</v>
      </c>
      <c r="VN25" s="263">
        <v>0</v>
      </c>
    </row>
    <row r="26" spans="1:586">
      <c r="A26" s="267" t="s">
        <v>194</v>
      </c>
      <c r="B26" s="261">
        <v>-906.35599999999999</v>
      </c>
      <c r="C26" s="261">
        <v>-759.24699999999996</v>
      </c>
      <c r="D26" s="262">
        <v>0.19375644553090099</v>
      </c>
      <c r="E26" s="261">
        <v>-4538.1989999999996</v>
      </c>
      <c r="F26" s="261">
        <v>-4593.5169999999998</v>
      </c>
      <c r="G26" s="262">
        <v>-1.2042624420460399E-2</v>
      </c>
      <c r="H26" s="261">
        <v>-11133.127</v>
      </c>
      <c r="I26" s="261">
        <v>-8054.4489999999996</v>
      </c>
      <c r="J26" s="262">
        <v>0.38223322290575101</v>
      </c>
      <c r="K26" s="261">
        <v>0</v>
      </c>
      <c r="L26" s="261">
        <v>0</v>
      </c>
      <c r="M26" s="262">
        <v>0</v>
      </c>
      <c r="N26" s="261">
        <v>0</v>
      </c>
      <c r="O26" s="261">
        <v>0</v>
      </c>
      <c r="P26" s="262">
        <v>0</v>
      </c>
      <c r="Q26" s="261">
        <v>0</v>
      </c>
      <c r="R26" s="261">
        <v>0</v>
      </c>
      <c r="S26" s="262">
        <v>0</v>
      </c>
      <c r="T26" s="261">
        <v>0</v>
      </c>
      <c r="U26" s="261">
        <v>0</v>
      </c>
      <c r="V26" s="262">
        <v>0</v>
      </c>
      <c r="W26" s="261">
        <v>0</v>
      </c>
      <c r="X26" s="261">
        <v>0</v>
      </c>
      <c r="Y26" s="262">
        <v>0</v>
      </c>
      <c r="Z26" s="261">
        <v>0</v>
      </c>
      <c r="AA26" s="261">
        <v>0</v>
      </c>
      <c r="AB26" s="262">
        <v>0</v>
      </c>
      <c r="AC26" s="261">
        <v>-66.456000000000003</v>
      </c>
      <c r="AD26" s="261">
        <v>-63.725000000000001</v>
      </c>
      <c r="AE26" s="262">
        <v>4.2856021969399798E-2</v>
      </c>
      <c r="AF26" s="261">
        <v>-146.52199999999999</v>
      </c>
      <c r="AG26" s="261">
        <v>-170.50399999999999</v>
      </c>
      <c r="AH26" s="262">
        <v>-0.14065359170459299</v>
      </c>
      <c r="AI26" s="261">
        <v>-397.19600000000003</v>
      </c>
      <c r="AJ26" s="261">
        <v>-199.346</v>
      </c>
      <c r="AK26" s="262">
        <v>0.99249546015470602</v>
      </c>
      <c r="AL26" s="261">
        <v>0</v>
      </c>
      <c r="AM26" s="261">
        <v>0</v>
      </c>
      <c r="AN26" s="262">
        <v>0</v>
      </c>
      <c r="AO26" s="261">
        <v>0</v>
      </c>
      <c r="AP26" s="261">
        <v>0</v>
      </c>
      <c r="AQ26" s="262">
        <v>0</v>
      </c>
      <c r="AR26" s="261">
        <v>0</v>
      </c>
      <c r="AS26" s="261">
        <v>0</v>
      </c>
      <c r="AT26" s="263">
        <v>0</v>
      </c>
      <c r="AU26" s="261">
        <v>-1007.931</v>
      </c>
      <c r="AV26" s="261">
        <v>-925.69500000000005</v>
      </c>
      <c r="AW26" s="262">
        <v>8.8837035956767604E-2</v>
      </c>
      <c r="AX26" s="261">
        <v>-5546.13</v>
      </c>
      <c r="AY26" s="261">
        <v>-5519.2120000000004</v>
      </c>
      <c r="AZ26" s="262">
        <v>4.8771455055539904E-3</v>
      </c>
      <c r="BA26" s="261">
        <v>-11215.362999999999</v>
      </c>
      <c r="BB26" s="261">
        <v>-8339.8349999999991</v>
      </c>
      <c r="BC26" s="262">
        <v>0.34479435144700099</v>
      </c>
      <c r="BD26" s="261">
        <v>0</v>
      </c>
      <c r="BE26" s="261">
        <v>0</v>
      </c>
      <c r="BF26" s="262">
        <v>0</v>
      </c>
      <c r="BG26" s="261">
        <v>0</v>
      </c>
      <c r="BH26" s="261">
        <v>0</v>
      </c>
      <c r="BI26" s="262">
        <v>0</v>
      </c>
      <c r="BJ26" s="261">
        <v>0</v>
      </c>
      <c r="BK26" s="261">
        <v>0</v>
      </c>
      <c r="BL26" s="262">
        <v>0</v>
      </c>
      <c r="BM26" s="261">
        <v>0</v>
      </c>
      <c r="BN26" s="261">
        <v>0</v>
      </c>
      <c r="BO26" s="262">
        <v>0</v>
      </c>
      <c r="BP26" s="261">
        <v>0</v>
      </c>
      <c r="BQ26" s="261">
        <v>0</v>
      </c>
      <c r="BR26" s="262">
        <v>0</v>
      </c>
      <c r="BS26" s="261">
        <v>0</v>
      </c>
      <c r="BT26" s="261">
        <v>0</v>
      </c>
      <c r="BU26" s="262">
        <v>0</v>
      </c>
      <c r="BV26" s="261">
        <v>-84.402000000000001</v>
      </c>
      <c r="BW26" s="261">
        <v>-5.3999999999999999E-2</v>
      </c>
      <c r="BX26" s="262">
        <v>1562</v>
      </c>
      <c r="BY26" s="261">
        <v>-230.92400000000001</v>
      </c>
      <c r="BZ26" s="261">
        <v>-170.55799999999999</v>
      </c>
      <c r="CA26" s="262">
        <v>0.35393238663680399</v>
      </c>
      <c r="CB26" s="261">
        <v>-481.54399999999998</v>
      </c>
      <c r="CC26" s="261">
        <v>-199.4</v>
      </c>
      <c r="CD26" s="262">
        <v>1.4149648946840501</v>
      </c>
      <c r="CE26" s="261">
        <v>-1.466</v>
      </c>
      <c r="CF26" s="261">
        <v>0</v>
      </c>
      <c r="CG26" s="262">
        <v>0</v>
      </c>
      <c r="CH26" s="261">
        <v>-1.466</v>
      </c>
      <c r="CI26" s="261">
        <v>0</v>
      </c>
      <c r="CJ26" s="262">
        <v>0</v>
      </c>
      <c r="CK26" s="261">
        <v>-1.466</v>
      </c>
      <c r="CL26" s="261">
        <v>0</v>
      </c>
      <c r="CM26" s="263">
        <v>0</v>
      </c>
      <c r="CN26" s="261">
        <v>-667.31700000000001</v>
      </c>
      <c r="CO26" s="261">
        <v>-1203.6790000000001</v>
      </c>
      <c r="CP26" s="262">
        <v>-0.44560219128189499</v>
      </c>
      <c r="CQ26" s="261">
        <v>-6213.4470000000001</v>
      </c>
      <c r="CR26" s="261">
        <v>-6722.8909999999996</v>
      </c>
      <c r="CS26" s="262">
        <v>-7.5777518927496998E-2</v>
      </c>
      <c r="CT26" s="261">
        <v>-10679.001</v>
      </c>
      <c r="CU26" s="261">
        <v>-9094.4590000000007</v>
      </c>
      <c r="CV26" s="262">
        <v>0.17423158430864299</v>
      </c>
      <c r="CW26" s="261">
        <v>0</v>
      </c>
      <c r="CX26" s="261">
        <v>0</v>
      </c>
      <c r="CY26" s="262">
        <v>0</v>
      </c>
      <c r="CZ26" s="261">
        <v>0</v>
      </c>
      <c r="DA26" s="261">
        <v>0</v>
      </c>
      <c r="DB26" s="262">
        <v>0</v>
      </c>
      <c r="DC26" s="261">
        <v>0</v>
      </c>
      <c r="DD26" s="261">
        <v>0</v>
      </c>
      <c r="DE26" s="262">
        <v>0</v>
      </c>
      <c r="DF26" s="261">
        <v>0</v>
      </c>
      <c r="DG26" s="261">
        <v>0</v>
      </c>
      <c r="DH26" s="262">
        <v>0</v>
      </c>
      <c r="DI26" s="261">
        <v>0</v>
      </c>
      <c r="DJ26" s="261">
        <v>0</v>
      </c>
      <c r="DK26" s="262">
        <v>0</v>
      </c>
      <c r="DL26" s="261">
        <v>0</v>
      </c>
      <c r="DM26" s="261">
        <v>0</v>
      </c>
      <c r="DN26" s="262">
        <v>0</v>
      </c>
      <c r="DO26" s="261">
        <v>-3.7090000000000001</v>
      </c>
      <c r="DP26" s="261">
        <v>-1.776</v>
      </c>
      <c r="DQ26" s="262">
        <v>1.0884009009008999</v>
      </c>
      <c r="DR26" s="261">
        <v>-234.63300000000001</v>
      </c>
      <c r="DS26" s="261">
        <v>-172.334</v>
      </c>
      <c r="DT26" s="262">
        <v>0.36150150289554001</v>
      </c>
      <c r="DU26" s="261">
        <v>-483.47699999999998</v>
      </c>
      <c r="DV26" s="261">
        <v>-201.17599999999999</v>
      </c>
      <c r="DW26" s="262">
        <v>1.4032538672605099</v>
      </c>
      <c r="DX26" s="261">
        <v>-3.5110000000000001</v>
      </c>
      <c r="DY26" s="261">
        <v>0</v>
      </c>
      <c r="DZ26" s="262">
        <v>0</v>
      </c>
      <c r="EA26" s="261">
        <v>-4.9770000000000003</v>
      </c>
      <c r="EB26" s="261">
        <v>0</v>
      </c>
      <c r="EC26" s="262">
        <v>0</v>
      </c>
      <c r="ED26" s="261">
        <v>-4.9770000000000003</v>
      </c>
      <c r="EE26" s="261">
        <v>0</v>
      </c>
      <c r="EF26" s="263">
        <v>0</v>
      </c>
      <c r="EG26" s="261">
        <v>-770.25300000000004</v>
      </c>
      <c r="EH26" s="261">
        <v>-826.19799999999998</v>
      </c>
      <c r="EI26" s="262">
        <v>-6.7713792577566101E-2</v>
      </c>
      <c r="EJ26" s="261">
        <v>-6983.7</v>
      </c>
      <c r="EK26" s="261">
        <v>-7549.0889999999999</v>
      </c>
      <c r="EL26" s="262">
        <v>-7.4894997263908303E-2</v>
      </c>
      <c r="EM26" s="261">
        <v>-10623.056</v>
      </c>
      <c r="EN26" s="261">
        <v>-9525.8040000000001</v>
      </c>
      <c r="EO26" s="262">
        <v>0.115187337467788</v>
      </c>
      <c r="EP26" s="261">
        <v>0</v>
      </c>
      <c r="EQ26" s="261">
        <v>0</v>
      </c>
      <c r="ER26" s="262">
        <v>0</v>
      </c>
      <c r="ES26" s="261">
        <v>0</v>
      </c>
      <c r="ET26" s="261">
        <v>0</v>
      </c>
      <c r="EU26" s="262">
        <v>0</v>
      </c>
      <c r="EV26" s="261">
        <v>0</v>
      </c>
      <c r="EW26" s="261">
        <v>0</v>
      </c>
      <c r="EX26" s="262">
        <v>0</v>
      </c>
      <c r="EY26" s="261">
        <v>0</v>
      </c>
      <c r="EZ26" s="261">
        <v>0</v>
      </c>
      <c r="FA26" s="262">
        <v>0</v>
      </c>
      <c r="FB26" s="261">
        <v>0</v>
      </c>
      <c r="FC26" s="261">
        <v>0</v>
      </c>
      <c r="FD26" s="262">
        <v>0</v>
      </c>
      <c r="FE26" s="261">
        <v>0</v>
      </c>
      <c r="FF26" s="261">
        <v>0</v>
      </c>
      <c r="FG26" s="262">
        <v>0</v>
      </c>
      <c r="FH26" s="261">
        <v>-8.4090000000000007</v>
      </c>
      <c r="FI26" s="261">
        <v>-9.0050000000000008</v>
      </c>
      <c r="FJ26" s="262">
        <v>-6.61854525263742E-2</v>
      </c>
      <c r="FK26" s="261">
        <v>-243.042</v>
      </c>
      <c r="FL26" s="261">
        <v>-181.339</v>
      </c>
      <c r="FM26" s="262">
        <v>0.34026326383182898</v>
      </c>
      <c r="FN26" s="261">
        <v>-482.88099999999997</v>
      </c>
      <c r="FO26" s="261">
        <v>-210.18100000000001</v>
      </c>
      <c r="FP26" s="262">
        <v>1.29745314752523</v>
      </c>
      <c r="FQ26" s="261">
        <v>-8.7720000000000002</v>
      </c>
      <c r="FR26" s="261">
        <v>0</v>
      </c>
      <c r="FS26" s="262">
        <v>0</v>
      </c>
      <c r="FT26" s="261">
        <v>-13.749000000000001</v>
      </c>
      <c r="FU26" s="261">
        <v>0</v>
      </c>
      <c r="FV26" s="262">
        <v>0</v>
      </c>
      <c r="FW26" s="261">
        <v>-13.749000000000001</v>
      </c>
      <c r="FX26" s="261">
        <v>0</v>
      </c>
      <c r="FY26" s="263">
        <v>0</v>
      </c>
      <c r="FZ26" s="261">
        <v>-644.26599999999996</v>
      </c>
      <c r="GA26" s="261">
        <v>-1287.288</v>
      </c>
      <c r="GB26" s="262">
        <v>-0.49951681364232398</v>
      </c>
      <c r="GC26" s="261">
        <v>-7627.9660000000003</v>
      </c>
      <c r="GD26" s="261">
        <v>-8836.3770000000004</v>
      </c>
      <c r="GE26" s="262">
        <v>-0.13675412445621099</v>
      </c>
      <c r="GF26" s="261">
        <v>-9980.0339999999997</v>
      </c>
      <c r="GG26" s="261">
        <v>-10163.538</v>
      </c>
      <c r="GH26" s="262">
        <v>-1.8055130014764598E-2</v>
      </c>
      <c r="GI26" s="261">
        <v>0</v>
      </c>
      <c r="GJ26" s="261">
        <v>0</v>
      </c>
      <c r="GK26" s="262">
        <v>0</v>
      </c>
      <c r="GL26" s="261">
        <v>0</v>
      </c>
      <c r="GM26" s="261">
        <v>0</v>
      </c>
      <c r="GN26" s="262">
        <v>0</v>
      </c>
      <c r="GO26" s="261">
        <v>0</v>
      </c>
      <c r="GP26" s="261">
        <v>0</v>
      </c>
      <c r="GQ26" s="262">
        <v>0</v>
      </c>
      <c r="GR26" s="261">
        <v>0</v>
      </c>
      <c r="GS26" s="261">
        <v>0</v>
      </c>
      <c r="GT26" s="262">
        <v>0</v>
      </c>
      <c r="GU26" s="261">
        <v>0</v>
      </c>
      <c r="GV26" s="261">
        <v>0</v>
      </c>
      <c r="GW26" s="262">
        <v>0</v>
      </c>
      <c r="GX26" s="261">
        <v>0</v>
      </c>
      <c r="GY26" s="261">
        <v>0</v>
      </c>
      <c r="GZ26" s="262">
        <v>0</v>
      </c>
      <c r="HA26" s="261">
        <v>-6.4119999999999999</v>
      </c>
      <c r="HB26" s="261">
        <v>-127.907</v>
      </c>
      <c r="HC26" s="262">
        <v>-0.94986982729639502</v>
      </c>
      <c r="HD26" s="261">
        <v>-249.45400000000001</v>
      </c>
      <c r="HE26" s="261">
        <v>-309.24599999999998</v>
      </c>
      <c r="HF26" s="262">
        <v>-0.19334769083512801</v>
      </c>
      <c r="HG26" s="261">
        <v>-361.38600000000002</v>
      </c>
      <c r="HH26" s="261">
        <v>-338.08800000000002</v>
      </c>
      <c r="HI26" s="262">
        <v>6.8911052743664394E-2</v>
      </c>
      <c r="HJ26" s="261">
        <v>-14.031000000000001</v>
      </c>
      <c r="HK26" s="261">
        <v>0</v>
      </c>
      <c r="HL26" s="262">
        <v>0</v>
      </c>
      <c r="HM26" s="261">
        <v>-27.78</v>
      </c>
      <c r="HN26" s="261">
        <v>0</v>
      </c>
      <c r="HO26" s="262">
        <v>0</v>
      </c>
      <c r="HP26" s="261">
        <v>-27.78</v>
      </c>
      <c r="HQ26" s="261">
        <v>0</v>
      </c>
      <c r="HR26" s="263">
        <v>0</v>
      </c>
      <c r="HS26" s="261">
        <v>-638.08799999999997</v>
      </c>
      <c r="HT26" s="261">
        <v>-1612.88</v>
      </c>
      <c r="HU26" s="262">
        <v>-0.6043797430683</v>
      </c>
      <c r="HV26" s="261">
        <v>-8266.0540000000001</v>
      </c>
      <c r="HW26" s="261">
        <v>-10449.257</v>
      </c>
      <c r="HX26" s="262">
        <v>-0.20893380266175901</v>
      </c>
      <c r="HY26" s="261">
        <v>-9005.2420000000002</v>
      </c>
      <c r="HZ26" s="261">
        <v>-11250.328</v>
      </c>
      <c r="IA26" s="262">
        <v>-0.199557381793669</v>
      </c>
      <c r="IB26" s="261">
        <v>0</v>
      </c>
      <c r="IC26" s="261">
        <v>0</v>
      </c>
      <c r="ID26" s="262">
        <v>0</v>
      </c>
      <c r="IE26" s="261">
        <v>0</v>
      </c>
      <c r="IF26" s="261">
        <v>0</v>
      </c>
      <c r="IG26" s="262">
        <v>0</v>
      </c>
      <c r="IH26" s="261">
        <v>0</v>
      </c>
      <c r="II26" s="261">
        <v>0</v>
      </c>
      <c r="IJ26" s="262">
        <v>0</v>
      </c>
      <c r="IK26" s="261">
        <v>0</v>
      </c>
      <c r="IL26" s="261">
        <v>0</v>
      </c>
      <c r="IM26" s="262">
        <v>0</v>
      </c>
      <c r="IN26" s="261">
        <v>0</v>
      </c>
      <c r="IO26" s="261">
        <v>0</v>
      </c>
      <c r="IP26" s="262">
        <v>0</v>
      </c>
      <c r="IQ26" s="261">
        <v>0</v>
      </c>
      <c r="IR26" s="261">
        <v>0</v>
      </c>
      <c r="IS26" s="262">
        <v>0</v>
      </c>
      <c r="IT26" s="261">
        <v>-5.601</v>
      </c>
      <c r="IU26" s="261">
        <v>-87.81</v>
      </c>
      <c r="IV26" s="262">
        <v>-0.93621455415100796</v>
      </c>
      <c r="IW26" s="261">
        <v>-255.05500000000001</v>
      </c>
      <c r="IX26" s="261">
        <v>-397.05599999999998</v>
      </c>
      <c r="IY26" s="262">
        <v>-0.35763469132817499</v>
      </c>
      <c r="IZ26" s="261">
        <v>-279.17700000000002</v>
      </c>
      <c r="JA26" s="261">
        <v>-425.89800000000002</v>
      </c>
      <c r="JB26" s="262">
        <v>-0.34449797838919199</v>
      </c>
      <c r="JC26" s="261">
        <v>-17.222999999999999</v>
      </c>
      <c r="JD26" s="261">
        <v>0</v>
      </c>
      <c r="JE26" s="262">
        <v>0</v>
      </c>
      <c r="JF26" s="261">
        <v>-45.003</v>
      </c>
      <c r="JG26" s="261">
        <v>0</v>
      </c>
      <c r="JH26" s="262">
        <v>0</v>
      </c>
      <c r="JI26" s="261">
        <v>-45.003</v>
      </c>
      <c r="JJ26" s="261">
        <v>0</v>
      </c>
      <c r="JK26" s="263">
        <v>0</v>
      </c>
      <c r="JL26" s="261">
        <v>-993.53099999999995</v>
      </c>
      <c r="JM26" s="261">
        <v>-739.18799999999999</v>
      </c>
      <c r="JN26" s="262">
        <v>0.344084319550642</v>
      </c>
      <c r="JO26" s="261">
        <v>-9259.5849999999991</v>
      </c>
      <c r="JP26" s="261">
        <v>-11188.445</v>
      </c>
      <c r="JQ26" s="262">
        <v>-0.17239750474708501</v>
      </c>
      <c r="JR26" s="261">
        <v>-9259.5849999999991</v>
      </c>
      <c r="JS26" s="261">
        <v>-11188.445</v>
      </c>
      <c r="JT26" s="262">
        <v>-0.17239750474708501</v>
      </c>
      <c r="JU26" s="261">
        <v>0</v>
      </c>
      <c r="JV26" s="261">
        <v>0</v>
      </c>
      <c r="JW26" s="262">
        <v>0</v>
      </c>
      <c r="JX26" s="261">
        <v>0</v>
      </c>
      <c r="JY26" s="261">
        <v>0</v>
      </c>
      <c r="JZ26" s="262">
        <v>0</v>
      </c>
      <c r="KA26" s="261">
        <v>0</v>
      </c>
      <c r="KB26" s="261">
        <v>0</v>
      </c>
      <c r="KC26" s="262">
        <v>0</v>
      </c>
      <c r="KD26" s="261">
        <v>0</v>
      </c>
      <c r="KE26" s="261">
        <v>0</v>
      </c>
      <c r="KF26" s="262">
        <v>0</v>
      </c>
      <c r="KG26" s="261">
        <v>0</v>
      </c>
      <c r="KH26" s="261">
        <v>0</v>
      </c>
      <c r="KI26" s="262">
        <v>0</v>
      </c>
      <c r="KJ26" s="261">
        <v>0</v>
      </c>
      <c r="KK26" s="261">
        <v>0</v>
      </c>
      <c r="KL26" s="262">
        <v>0</v>
      </c>
      <c r="KM26" s="261">
        <v>-4.0439999999999996</v>
      </c>
      <c r="KN26" s="261">
        <v>-24.122</v>
      </c>
      <c r="KO26" s="262">
        <v>-0.83235220960119405</v>
      </c>
      <c r="KP26" s="261">
        <v>-259.09899999999999</v>
      </c>
      <c r="KQ26" s="261">
        <v>-421.178</v>
      </c>
      <c r="KR26" s="262">
        <v>-0.38482304393866701</v>
      </c>
      <c r="KS26" s="261">
        <v>-259.09899999999999</v>
      </c>
      <c r="KT26" s="261">
        <v>-421.178</v>
      </c>
      <c r="KU26" s="262">
        <v>-0.38482304393866701</v>
      </c>
      <c r="KV26" s="261">
        <v>-16.890999999999998</v>
      </c>
      <c r="KW26" s="261">
        <v>0</v>
      </c>
      <c r="KX26" s="262">
        <v>0</v>
      </c>
      <c r="KY26" s="261">
        <v>-61.893999999999998</v>
      </c>
      <c r="KZ26" s="261">
        <v>0</v>
      </c>
      <c r="LA26" s="262">
        <v>0</v>
      </c>
      <c r="LB26" s="261">
        <v>-61.893999999999998</v>
      </c>
      <c r="LC26" s="261">
        <v>0</v>
      </c>
      <c r="LD26" s="263">
        <v>0</v>
      </c>
      <c r="LE26" s="261">
        <v>-1129.8409999999999</v>
      </c>
      <c r="LF26" s="261">
        <v>-935.55100000000004</v>
      </c>
      <c r="LG26" s="262">
        <v>0.207674407915763</v>
      </c>
      <c r="LH26" s="261">
        <v>-1129.8409999999999</v>
      </c>
      <c r="LI26" s="261">
        <v>-935.55100000000004</v>
      </c>
      <c r="LJ26" s="262">
        <v>0.207674407915763</v>
      </c>
      <c r="LK26" s="261">
        <v>-9453.875</v>
      </c>
      <c r="LL26" s="261">
        <v>-11315.63</v>
      </c>
      <c r="LM26" s="262">
        <v>-0.164529504764648</v>
      </c>
      <c r="LN26" s="261">
        <v>0</v>
      </c>
      <c r="LO26" s="261">
        <v>0</v>
      </c>
      <c r="LP26" s="262">
        <v>0</v>
      </c>
      <c r="LQ26" s="261">
        <v>0</v>
      </c>
      <c r="LR26" s="261">
        <v>0</v>
      </c>
      <c r="LS26" s="262">
        <v>0</v>
      </c>
      <c r="LT26" s="261">
        <v>0</v>
      </c>
      <c r="LU26" s="261">
        <v>0</v>
      </c>
      <c r="LV26" s="262">
        <v>0</v>
      </c>
      <c r="LW26" s="261">
        <v>0</v>
      </c>
      <c r="LX26" s="261">
        <v>0</v>
      </c>
      <c r="LY26" s="262">
        <v>0</v>
      </c>
      <c r="LZ26" s="261">
        <v>0</v>
      </c>
      <c r="MA26" s="261">
        <v>0</v>
      </c>
      <c r="MB26" s="262">
        <v>0</v>
      </c>
      <c r="MC26" s="261">
        <v>0</v>
      </c>
      <c r="MD26" s="261">
        <v>0</v>
      </c>
      <c r="ME26" s="262">
        <v>0</v>
      </c>
      <c r="MF26" s="261">
        <v>-0.38700000000000001</v>
      </c>
      <c r="MG26" s="261">
        <v>-20.024000000000001</v>
      </c>
      <c r="MH26" s="262">
        <v>-0.98067319216939697</v>
      </c>
      <c r="MI26" s="261">
        <v>-0.38700000000000001</v>
      </c>
      <c r="MJ26" s="261">
        <v>-20.024000000000001</v>
      </c>
      <c r="MK26" s="262">
        <v>-0.98067319216939697</v>
      </c>
      <c r="ML26" s="261">
        <v>-239.46199999999999</v>
      </c>
      <c r="MM26" s="261">
        <v>-418.43400000000003</v>
      </c>
      <c r="MN26" s="262">
        <v>-0.42771858883360397</v>
      </c>
      <c r="MO26" s="261">
        <v>-11.673</v>
      </c>
      <c r="MP26" s="261">
        <v>0</v>
      </c>
      <c r="MQ26" s="262">
        <v>0</v>
      </c>
      <c r="MR26" s="261">
        <v>-11.673</v>
      </c>
      <c r="MS26" s="261">
        <v>0</v>
      </c>
      <c r="MT26" s="262">
        <v>0</v>
      </c>
      <c r="MU26" s="261">
        <v>-73.566999999999993</v>
      </c>
      <c r="MV26" s="261">
        <v>0</v>
      </c>
      <c r="MW26" s="263">
        <v>0</v>
      </c>
      <c r="MX26" s="261">
        <v>-1275.319</v>
      </c>
      <c r="MY26" s="261">
        <v>-613.04399999999998</v>
      </c>
      <c r="MZ26" s="262">
        <v>1.08030581817945</v>
      </c>
      <c r="NA26" s="261">
        <v>-2405.16</v>
      </c>
      <c r="NB26" s="261">
        <v>-1548.595</v>
      </c>
      <c r="NC26" s="262">
        <v>0.55312396075152004</v>
      </c>
      <c r="ND26" s="261">
        <v>-10116.15</v>
      </c>
      <c r="NE26" s="261">
        <v>-11140.945</v>
      </c>
      <c r="NF26" s="262">
        <v>-9.1984566838809498E-2</v>
      </c>
      <c r="NG26" s="261">
        <v>0</v>
      </c>
      <c r="NH26" s="261">
        <v>0</v>
      </c>
      <c r="NI26" s="262">
        <v>0</v>
      </c>
      <c r="NJ26" s="261">
        <v>0</v>
      </c>
      <c r="NK26" s="261">
        <v>0</v>
      </c>
      <c r="NL26" s="262">
        <v>0</v>
      </c>
      <c r="NM26" s="261">
        <v>0</v>
      </c>
      <c r="NN26" s="261">
        <v>0</v>
      </c>
      <c r="NO26" s="262">
        <v>0</v>
      </c>
      <c r="NP26" s="261">
        <v>0</v>
      </c>
      <c r="NQ26" s="261">
        <v>0</v>
      </c>
      <c r="NR26" s="262">
        <v>0</v>
      </c>
      <c r="NS26" s="261">
        <v>0</v>
      </c>
      <c r="NT26" s="261">
        <v>0</v>
      </c>
      <c r="NU26" s="262">
        <v>0</v>
      </c>
      <c r="NV26" s="261">
        <v>0</v>
      </c>
      <c r="NW26" s="261">
        <v>0</v>
      </c>
      <c r="NX26" s="262">
        <v>0</v>
      </c>
      <c r="NY26" s="261">
        <v>0</v>
      </c>
      <c r="NZ26" s="261">
        <v>-19.649999999999999</v>
      </c>
      <c r="OA26" s="262">
        <v>-1</v>
      </c>
      <c r="OB26" s="261">
        <v>-0.38700000000000001</v>
      </c>
      <c r="OC26" s="261">
        <v>-39.673999999999999</v>
      </c>
      <c r="OD26" s="262">
        <v>-0.99024550083177898</v>
      </c>
      <c r="OE26" s="261">
        <v>-219.81200000000001</v>
      </c>
      <c r="OF26" s="261">
        <v>-427.875</v>
      </c>
      <c r="OG26" s="262">
        <v>-0.48627052293310002</v>
      </c>
      <c r="OH26" s="261">
        <v>-58.445999999999998</v>
      </c>
      <c r="OI26" s="261">
        <v>0</v>
      </c>
      <c r="OJ26" s="262">
        <v>0</v>
      </c>
      <c r="OK26" s="261">
        <v>-70.119</v>
      </c>
      <c r="OL26" s="261">
        <v>0</v>
      </c>
      <c r="OM26" s="262">
        <v>0</v>
      </c>
      <c r="ON26" s="261">
        <v>-132.01300000000001</v>
      </c>
      <c r="OO26" s="261">
        <v>0</v>
      </c>
      <c r="OP26" s="263">
        <v>0</v>
      </c>
      <c r="OQ26" s="261">
        <v>-1768.0640000000001</v>
      </c>
      <c r="OR26" s="261">
        <v>-514.10500000000002</v>
      </c>
      <c r="OS26" s="262">
        <v>2.4391106875054702</v>
      </c>
      <c r="OT26" s="261">
        <v>-4173.2240000000002</v>
      </c>
      <c r="OU26" s="261">
        <v>-2062.6999999999998</v>
      </c>
      <c r="OV26" s="262">
        <v>1.02318514568284</v>
      </c>
      <c r="OW26" s="261">
        <v>-11370.109</v>
      </c>
      <c r="OX26" s="261">
        <v>-10932.958000000001</v>
      </c>
      <c r="OY26" s="262">
        <v>3.9984695816082001E-2</v>
      </c>
      <c r="OZ26" s="261">
        <v>0</v>
      </c>
      <c r="PA26" s="261">
        <v>0</v>
      </c>
      <c r="PB26" s="262">
        <v>0</v>
      </c>
      <c r="PC26" s="261">
        <v>0</v>
      </c>
      <c r="PD26" s="261">
        <v>0</v>
      </c>
      <c r="PE26" s="262">
        <v>0</v>
      </c>
      <c r="PF26" s="261">
        <v>0</v>
      </c>
      <c r="PG26" s="261">
        <v>0</v>
      </c>
      <c r="PH26" s="262">
        <v>0</v>
      </c>
      <c r="PI26" s="261">
        <v>0</v>
      </c>
      <c r="PJ26" s="261">
        <v>0</v>
      </c>
      <c r="PK26" s="262">
        <v>0</v>
      </c>
      <c r="PL26" s="261">
        <v>0</v>
      </c>
      <c r="PM26" s="261">
        <v>0</v>
      </c>
      <c r="PN26" s="262">
        <v>0</v>
      </c>
      <c r="PO26" s="261">
        <v>0</v>
      </c>
      <c r="PP26" s="261">
        <v>0</v>
      </c>
      <c r="PQ26" s="262">
        <v>0</v>
      </c>
      <c r="PR26" s="261">
        <v>0</v>
      </c>
      <c r="PS26" s="261">
        <v>-6.5549999999999997</v>
      </c>
      <c r="PT26" s="262">
        <v>-1</v>
      </c>
      <c r="PU26" s="261">
        <v>-0.38700000000000001</v>
      </c>
      <c r="PV26" s="261">
        <v>-46.228999999999999</v>
      </c>
      <c r="PW26" s="262">
        <v>-0.99162863137857205</v>
      </c>
      <c r="PX26" s="261">
        <v>-213.25700000000001</v>
      </c>
      <c r="PY26" s="261">
        <v>-401.62599999999998</v>
      </c>
      <c r="PZ26" s="262">
        <v>-0.46901595016258901</v>
      </c>
      <c r="QA26" s="261">
        <v>-13.491</v>
      </c>
      <c r="QB26" s="261">
        <v>0</v>
      </c>
      <c r="QC26" s="262">
        <v>0</v>
      </c>
      <c r="QD26" s="261">
        <v>-83.61</v>
      </c>
      <c r="QE26" s="261">
        <v>0</v>
      </c>
      <c r="QF26" s="262">
        <v>0</v>
      </c>
      <c r="QG26" s="261">
        <v>-145.50399999999999</v>
      </c>
      <c r="QH26" s="261">
        <v>0</v>
      </c>
      <c r="QI26" s="263">
        <v>0</v>
      </c>
      <c r="QJ26" s="261">
        <v>-1699.635</v>
      </c>
      <c r="QK26" s="261">
        <v>-571.74800000000005</v>
      </c>
      <c r="QL26" s="262">
        <v>1.97269951097337</v>
      </c>
      <c r="QM26" s="261">
        <v>-5872.8590000000004</v>
      </c>
      <c r="QN26" s="261">
        <v>-2634.4479999999999</v>
      </c>
      <c r="QO26" s="262">
        <v>1.2292559959429801</v>
      </c>
      <c r="QP26" s="261">
        <v>-12497.995999999999</v>
      </c>
      <c r="QQ26" s="261">
        <v>-10811.953</v>
      </c>
      <c r="QR26" s="262">
        <v>0.15594250178482999</v>
      </c>
      <c r="QS26" s="261">
        <v>0</v>
      </c>
      <c r="QT26" s="261">
        <v>0</v>
      </c>
      <c r="QU26" s="262">
        <v>0</v>
      </c>
      <c r="QV26" s="261">
        <v>0</v>
      </c>
      <c r="QW26" s="261">
        <v>0</v>
      </c>
      <c r="QX26" s="262">
        <v>0</v>
      </c>
      <c r="QY26" s="261">
        <v>0</v>
      </c>
      <c r="QZ26" s="261">
        <v>0</v>
      </c>
      <c r="RA26" s="262">
        <v>0</v>
      </c>
      <c r="RB26" s="261">
        <v>0</v>
      </c>
      <c r="RC26" s="261">
        <v>0</v>
      </c>
      <c r="RD26" s="262">
        <v>0</v>
      </c>
      <c r="RE26" s="261">
        <v>0</v>
      </c>
      <c r="RF26" s="261">
        <v>0</v>
      </c>
      <c r="RG26" s="262">
        <v>0</v>
      </c>
      <c r="RH26" s="261">
        <v>0</v>
      </c>
      <c r="RI26" s="261">
        <v>0</v>
      </c>
      <c r="RJ26" s="262">
        <v>0</v>
      </c>
      <c r="RK26" s="261">
        <v>0</v>
      </c>
      <c r="RL26" s="261">
        <v>-6.423</v>
      </c>
      <c r="RM26" s="262">
        <v>-1</v>
      </c>
      <c r="RN26" s="261">
        <v>-0.38700000000000001</v>
      </c>
      <c r="RO26" s="261">
        <v>-52.652000000000001</v>
      </c>
      <c r="RP26" s="262">
        <v>-0.992649851857479</v>
      </c>
      <c r="RQ26" s="261">
        <v>-206.834</v>
      </c>
      <c r="RR26" s="261">
        <v>-404.04</v>
      </c>
      <c r="RS26" s="262">
        <v>-0.48808533808533799</v>
      </c>
      <c r="RT26" s="261">
        <v>-22.315000000000001</v>
      </c>
      <c r="RU26" s="261">
        <v>0</v>
      </c>
      <c r="RV26" s="262">
        <v>0</v>
      </c>
      <c r="RW26" s="261">
        <v>-105.925</v>
      </c>
      <c r="RX26" s="261">
        <v>0</v>
      </c>
      <c r="RY26" s="262">
        <v>0</v>
      </c>
      <c r="RZ26" s="261">
        <v>-167.81899999999999</v>
      </c>
      <c r="SA26" s="261">
        <v>0</v>
      </c>
      <c r="SB26" s="263">
        <v>0</v>
      </c>
      <c r="SC26" s="261">
        <v>-1797.998</v>
      </c>
      <c r="SD26" s="261">
        <v>-997.39499999999998</v>
      </c>
      <c r="SE26" s="262">
        <v>0.80269401791667305</v>
      </c>
      <c r="SF26" s="261">
        <v>-7670.857</v>
      </c>
      <c r="SG26" s="261">
        <v>-3631.8429999999998</v>
      </c>
      <c r="SH26" s="262">
        <v>1.11211139908856</v>
      </c>
      <c r="SI26" s="261">
        <v>-13298.599</v>
      </c>
      <c r="SJ26" s="261">
        <v>-10986.018</v>
      </c>
      <c r="SK26" s="262">
        <v>0.210502203801232</v>
      </c>
      <c r="SL26" s="261">
        <v>0</v>
      </c>
      <c r="SM26" s="261">
        <v>0</v>
      </c>
      <c r="SN26" s="262">
        <v>0</v>
      </c>
      <c r="SO26" s="261">
        <v>0</v>
      </c>
      <c r="SP26" s="261">
        <v>0</v>
      </c>
      <c r="SQ26" s="262">
        <v>0</v>
      </c>
      <c r="SR26" s="261">
        <v>0</v>
      </c>
      <c r="SS26" s="261">
        <v>0</v>
      </c>
      <c r="ST26" s="262">
        <v>0</v>
      </c>
      <c r="SU26" s="261">
        <v>0</v>
      </c>
      <c r="SV26" s="261">
        <v>0</v>
      </c>
      <c r="SW26" s="262">
        <v>0</v>
      </c>
      <c r="SX26" s="261">
        <v>0</v>
      </c>
      <c r="SY26" s="261">
        <v>0</v>
      </c>
      <c r="SZ26" s="262">
        <v>0</v>
      </c>
      <c r="TA26" s="261">
        <v>0</v>
      </c>
      <c r="TB26" s="261">
        <v>0</v>
      </c>
      <c r="TC26" s="262">
        <v>0</v>
      </c>
      <c r="TD26" s="261">
        <v>0</v>
      </c>
      <c r="TE26" s="261">
        <v>-27.414000000000001</v>
      </c>
      <c r="TF26" s="262">
        <v>-1</v>
      </c>
      <c r="TG26" s="261">
        <v>-0.38700000000000001</v>
      </c>
      <c r="TH26" s="261">
        <v>-80.066000000000003</v>
      </c>
      <c r="TI26" s="262">
        <v>-0.995166487647691</v>
      </c>
      <c r="TJ26" s="261">
        <v>-179.42</v>
      </c>
      <c r="TK26" s="261">
        <v>-394.46499999999997</v>
      </c>
      <c r="TL26" s="262">
        <v>-0.54515609749914395</v>
      </c>
      <c r="TM26" s="261">
        <v>-22.401</v>
      </c>
      <c r="TN26" s="261">
        <v>0</v>
      </c>
      <c r="TO26" s="262">
        <v>0</v>
      </c>
      <c r="TP26" s="261">
        <v>-128.32599999999999</v>
      </c>
      <c r="TQ26" s="261">
        <v>0</v>
      </c>
      <c r="TR26" s="262">
        <v>0</v>
      </c>
      <c r="TS26" s="261">
        <v>-190.22</v>
      </c>
      <c r="TT26" s="261">
        <v>0</v>
      </c>
      <c r="TU26" s="263">
        <v>0</v>
      </c>
      <c r="TV26" s="261">
        <v>-1620.4069999999999</v>
      </c>
      <c r="TW26" s="261">
        <v>-906.35599999999999</v>
      </c>
      <c r="TX26" s="262">
        <v>0.78782619632903605</v>
      </c>
      <c r="TY26" s="261">
        <v>-9291.2639999999992</v>
      </c>
      <c r="TZ26" s="261">
        <v>-4538.1989999999996</v>
      </c>
      <c r="UA26" s="262">
        <v>1.0473460947834199</v>
      </c>
      <c r="UB26" s="261">
        <v>-14012.65</v>
      </c>
      <c r="UC26" s="261">
        <v>-11133.127</v>
      </c>
      <c r="UD26" s="262">
        <v>0.25864458386219802</v>
      </c>
      <c r="UE26" s="261">
        <v>0</v>
      </c>
      <c r="UF26" s="261">
        <v>0</v>
      </c>
      <c r="UG26" s="262">
        <v>0</v>
      </c>
      <c r="UH26" s="261">
        <v>0</v>
      </c>
      <c r="UI26" s="261">
        <v>0</v>
      </c>
      <c r="UJ26" s="262">
        <v>0</v>
      </c>
      <c r="UK26" s="261">
        <v>0</v>
      </c>
      <c r="UL26" s="261">
        <v>0</v>
      </c>
      <c r="UM26" s="262">
        <v>0</v>
      </c>
      <c r="UN26" s="261">
        <v>0</v>
      </c>
      <c r="UO26" s="261">
        <v>0</v>
      </c>
      <c r="UP26" s="262">
        <v>0</v>
      </c>
      <c r="UQ26" s="261">
        <v>0</v>
      </c>
      <c r="UR26" s="261">
        <v>0</v>
      </c>
      <c r="US26" s="262">
        <v>0</v>
      </c>
      <c r="UT26" s="261">
        <v>0</v>
      </c>
      <c r="UU26" s="261">
        <v>0</v>
      </c>
      <c r="UV26" s="262">
        <v>0</v>
      </c>
      <c r="UW26" s="261">
        <v>0</v>
      </c>
      <c r="UX26" s="261">
        <v>-66.456000000000003</v>
      </c>
      <c r="UY26" s="262">
        <v>-1</v>
      </c>
      <c r="UZ26" s="261">
        <v>-0.38700000000000001</v>
      </c>
      <c r="VA26" s="261">
        <v>-146.52199999999999</v>
      </c>
      <c r="VB26" s="262">
        <v>-0.99735875841170596</v>
      </c>
      <c r="VC26" s="261">
        <v>-112.964</v>
      </c>
      <c r="VD26" s="261">
        <v>-397.19600000000003</v>
      </c>
      <c r="VE26" s="262">
        <v>-0.71559633027522895</v>
      </c>
      <c r="VF26" s="261">
        <v>-12.041</v>
      </c>
      <c r="VG26" s="261">
        <v>0</v>
      </c>
      <c r="VH26" s="262">
        <v>0</v>
      </c>
      <c r="VI26" s="261">
        <v>-140.36699999999999</v>
      </c>
      <c r="VJ26" s="261">
        <v>0</v>
      </c>
      <c r="VK26" s="262">
        <v>0</v>
      </c>
      <c r="VL26" s="261">
        <v>-202.261</v>
      </c>
      <c r="VM26" s="261">
        <v>0</v>
      </c>
      <c r="VN26" s="263">
        <v>0</v>
      </c>
    </row>
    <row r="27" spans="1:586">
      <c r="A27" s="267" t="s">
        <v>92</v>
      </c>
      <c r="B27" s="261">
        <v>-171035.32399999999</v>
      </c>
      <c r="C27" s="261">
        <v>-145363.58900000001</v>
      </c>
      <c r="D27" s="262">
        <v>0.17660361288960699</v>
      </c>
      <c r="E27" s="261">
        <v>-656248.37399999995</v>
      </c>
      <c r="F27" s="261">
        <v>-720662.90599999996</v>
      </c>
      <c r="G27" s="262">
        <v>-8.9382333215302201E-2</v>
      </c>
      <c r="H27" s="261">
        <v>-1515393.352</v>
      </c>
      <c r="I27" s="261">
        <v>-1509698.1710000001</v>
      </c>
      <c r="J27" s="262">
        <v>3.7723970985720102E-3</v>
      </c>
      <c r="K27" s="261">
        <v>0</v>
      </c>
      <c r="L27" s="261">
        <v>0</v>
      </c>
      <c r="M27" s="262">
        <v>0</v>
      </c>
      <c r="N27" s="261">
        <v>0</v>
      </c>
      <c r="O27" s="261">
        <v>0</v>
      </c>
      <c r="P27" s="262">
        <v>0</v>
      </c>
      <c r="Q27" s="261">
        <v>0</v>
      </c>
      <c r="R27" s="261">
        <v>0</v>
      </c>
      <c r="S27" s="262">
        <v>0</v>
      </c>
      <c r="T27" s="261">
        <v>0</v>
      </c>
      <c r="U27" s="261">
        <v>0</v>
      </c>
      <c r="V27" s="262">
        <v>0</v>
      </c>
      <c r="W27" s="261">
        <v>0</v>
      </c>
      <c r="X27" s="261">
        <v>0</v>
      </c>
      <c r="Y27" s="262">
        <v>0</v>
      </c>
      <c r="Z27" s="261">
        <v>0</v>
      </c>
      <c r="AA27" s="261">
        <v>0</v>
      </c>
      <c r="AB27" s="262">
        <v>0</v>
      </c>
      <c r="AC27" s="261">
        <v>171035.32399999999</v>
      </c>
      <c r="AD27" s="261">
        <v>145363.58900000001</v>
      </c>
      <c r="AE27" s="262">
        <v>0.17660361288960699</v>
      </c>
      <c r="AF27" s="261">
        <v>656249.11600000004</v>
      </c>
      <c r="AG27" s="261">
        <v>720662.90599999996</v>
      </c>
      <c r="AH27" s="262">
        <v>-8.9381303607709101E-2</v>
      </c>
      <c r="AI27" s="261">
        <v>1515394.094</v>
      </c>
      <c r="AJ27" s="261">
        <v>1509698.1710000001</v>
      </c>
      <c r="AK27" s="262">
        <v>3.7728885875426802E-3</v>
      </c>
      <c r="AL27" s="261">
        <v>0</v>
      </c>
      <c r="AM27" s="261">
        <v>0</v>
      </c>
      <c r="AN27" s="262">
        <v>0</v>
      </c>
      <c r="AO27" s="261">
        <v>0</v>
      </c>
      <c r="AP27" s="261">
        <v>0</v>
      </c>
      <c r="AQ27" s="262">
        <v>0</v>
      </c>
      <c r="AR27" s="261">
        <v>0</v>
      </c>
      <c r="AS27" s="261">
        <v>0</v>
      </c>
      <c r="AT27" s="263">
        <v>0</v>
      </c>
      <c r="AU27" s="261">
        <v>-188427.815</v>
      </c>
      <c r="AV27" s="261">
        <v>-208454.38699999999</v>
      </c>
      <c r="AW27" s="262">
        <v>-9.6071722395556905E-2</v>
      </c>
      <c r="AX27" s="261">
        <v>-844676.18900000001</v>
      </c>
      <c r="AY27" s="261">
        <v>-929117.29299999995</v>
      </c>
      <c r="AZ27" s="262">
        <v>-9.0883147516661197E-2</v>
      </c>
      <c r="BA27" s="261">
        <v>-1495366.78</v>
      </c>
      <c r="BB27" s="261">
        <v>-1549604.7339999999</v>
      </c>
      <c r="BC27" s="262">
        <v>-3.5001154042679797E-2</v>
      </c>
      <c r="BD27" s="261">
        <v>0</v>
      </c>
      <c r="BE27" s="261">
        <v>0</v>
      </c>
      <c r="BF27" s="262">
        <v>0</v>
      </c>
      <c r="BG27" s="261">
        <v>0</v>
      </c>
      <c r="BH27" s="261">
        <v>0</v>
      </c>
      <c r="BI27" s="262">
        <v>0</v>
      </c>
      <c r="BJ27" s="261">
        <v>0</v>
      </c>
      <c r="BK27" s="261">
        <v>0</v>
      </c>
      <c r="BL27" s="262">
        <v>0</v>
      </c>
      <c r="BM27" s="261">
        <v>0</v>
      </c>
      <c r="BN27" s="261">
        <v>0</v>
      </c>
      <c r="BO27" s="262">
        <v>0</v>
      </c>
      <c r="BP27" s="261">
        <v>0</v>
      </c>
      <c r="BQ27" s="261">
        <v>0</v>
      </c>
      <c r="BR27" s="262">
        <v>0</v>
      </c>
      <c r="BS27" s="261">
        <v>0</v>
      </c>
      <c r="BT27" s="261">
        <v>0</v>
      </c>
      <c r="BU27" s="262">
        <v>0</v>
      </c>
      <c r="BV27" s="261">
        <v>188427.815</v>
      </c>
      <c r="BW27" s="261">
        <v>208454.38699999999</v>
      </c>
      <c r="BX27" s="262">
        <v>-9.6071722395556905E-2</v>
      </c>
      <c r="BY27" s="261">
        <v>844676.93099999998</v>
      </c>
      <c r="BZ27" s="261">
        <v>929117.29299999995</v>
      </c>
      <c r="CA27" s="262">
        <v>-9.0882348909202798E-2</v>
      </c>
      <c r="CB27" s="261">
        <v>1495367.5220000001</v>
      </c>
      <c r="CC27" s="261">
        <v>1549604.7339999999</v>
      </c>
      <c r="CD27" s="262">
        <v>-3.5000675210895303E-2</v>
      </c>
      <c r="CE27" s="261">
        <v>0</v>
      </c>
      <c r="CF27" s="261">
        <v>0</v>
      </c>
      <c r="CG27" s="262">
        <v>0</v>
      </c>
      <c r="CH27" s="261">
        <v>0</v>
      </c>
      <c r="CI27" s="261">
        <v>0</v>
      </c>
      <c r="CJ27" s="262">
        <v>0</v>
      </c>
      <c r="CK27" s="261">
        <v>0</v>
      </c>
      <c r="CL27" s="261">
        <v>0</v>
      </c>
      <c r="CM27" s="263">
        <v>0</v>
      </c>
      <c r="CN27" s="261">
        <v>-208611.20199999999</v>
      </c>
      <c r="CO27" s="261">
        <v>-187956.546</v>
      </c>
      <c r="CP27" s="262">
        <v>0.109890591413613</v>
      </c>
      <c r="CQ27" s="261">
        <v>-1053287.3910000001</v>
      </c>
      <c r="CR27" s="261">
        <v>-1117073.8389999999</v>
      </c>
      <c r="CS27" s="262">
        <v>-5.7101371255011399E-2</v>
      </c>
      <c r="CT27" s="261">
        <v>-1516021.436</v>
      </c>
      <c r="CU27" s="261">
        <v>-1562551.9890000001</v>
      </c>
      <c r="CV27" s="262">
        <v>-2.9778563099061201E-2</v>
      </c>
      <c r="CW27" s="261">
        <v>0</v>
      </c>
      <c r="CX27" s="261">
        <v>0</v>
      </c>
      <c r="CY27" s="262">
        <v>0</v>
      </c>
      <c r="CZ27" s="261">
        <v>0</v>
      </c>
      <c r="DA27" s="261">
        <v>0</v>
      </c>
      <c r="DB27" s="262">
        <v>0</v>
      </c>
      <c r="DC27" s="261">
        <v>0</v>
      </c>
      <c r="DD27" s="261">
        <v>0</v>
      </c>
      <c r="DE27" s="262">
        <v>0</v>
      </c>
      <c r="DF27" s="261">
        <v>0</v>
      </c>
      <c r="DG27" s="261">
        <v>0</v>
      </c>
      <c r="DH27" s="262">
        <v>0</v>
      </c>
      <c r="DI27" s="261">
        <v>0</v>
      </c>
      <c r="DJ27" s="261">
        <v>0</v>
      </c>
      <c r="DK27" s="262">
        <v>0</v>
      </c>
      <c r="DL27" s="261">
        <v>0</v>
      </c>
      <c r="DM27" s="261">
        <v>0</v>
      </c>
      <c r="DN27" s="262">
        <v>0</v>
      </c>
      <c r="DO27" s="261">
        <v>208611.20199999999</v>
      </c>
      <c r="DP27" s="261">
        <v>187956.546</v>
      </c>
      <c r="DQ27" s="262">
        <v>0.109890591413613</v>
      </c>
      <c r="DR27" s="261">
        <v>1053288.1329999999</v>
      </c>
      <c r="DS27" s="261">
        <v>1117073.8389999999</v>
      </c>
      <c r="DT27" s="262">
        <v>-5.7100707019601099E-2</v>
      </c>
      <c r="DU27" s="261">
        <v>1516022.1780000001</v>
      </c>
      <c r="DV27" s="261">
        <v>1562551.9890000001</v>
      </c>
      <c r="DW27" s="262">
        <v>-2.9778088234861302E-2</v>
      </c>
      <c r="DX27" s="261">
        <v>0</v>
      </c>
      <c r="DY27" s="261">
        <v>0</v>
      </c>
      <c r="DZ27" s="262">
        <v>0</v>
      </c>
      <c r="EA27" s="261">
        <v>0</v>
      </c>
      <c r="EB27" s="261">
        <v>0</v>
      </c>
      <c r="EC27" s="262">
        <v>0</v>
      </c>
      <c r="ED27" s="261">
        <v>0</v>
      </c>
      <c r="EE27" s="261">
        <v>0</v>
      </c>
      <c r="EF27" s="263">
        <v>0</v>
      </c>
      <c r="EG27" s="261">
        <v>-166212.17300000001</v>
      </c>
      <c r="EH27" s="261">
        <v>-162009.15900000001</v>
      </c>
      <c r="EI27" s="262">
        <v>2.5943064120220499E-2</v>
      </c>
      <c r="EJ27" s="261">
        <v>-1219499.564</v>
      </c>
      <c r="EK27" s="261">
        <v>-1279082.9979999999</v>
      </c>
      <c r="EL27" s="262">
        <v>-4.6582930187615501E-2</v>
      </c>
      <c r="EM27" s="261">
        <v>-1520224.45</v>
      </c>
      <c r="EN27" s="261">
        <v>-1593706.446</v>
      </c>
      <c r="EO27" s="262">
        <v>-4.6107610460151202E-2</v>
      </c>
      <c r="EP27" s="261">
        <v>0</v>
      </c>
      <c r="EQ27" s="261">
        <v>0</v>
      </c>
      <c r="ER27" s="262">
        <v>0</v>
      </c>
      <c r="ES27" s="261">
        <v>0</v>
      </c>
      <c r="ET27" s="261">
        <v>0</v>
      </c>
      <c r="EU27" s="262">
        <v>0</v>
      </c>
      <c r="EV27" s="261">
        <v>0</v>
      </c>
      <c r="EW27" s="261">
        <v>0</v>
      </c>
      <c r="EX27" s="262">
        <v>0</v>
      </c>
      <c r="EY27" s="261">
        <v>0</v>
      </c>
      <c r="EZ27" s="261">
        <v>0</v>
      </c>
      <c r="FA27" s="262">
        <v>0</v>
      </c>
      <c r="FB27" s="261">
        <v>0</v>
      </c>
      <c r="FC27" s="261">
        <v>0</v>
      </c>
      <c r="FD27" s="262">
        <v>0</v>
      </c>
      <c r="FE27" s="261">
        <v>0</v>
      </c>
      <c r="FF27" s="261">
        <v>0</v>
      </c>
      <c r="FG27" s="262">
        <v>0</v>
      </c>
      <c r="FH27" s="261">
        <v>166212.17300000001</v>
      </c>
      <c r="FI27" s="261">
        <v>162009.15900000001</v>
      </c>
      <c r="FJ27" s="262">
        <v>2.5943064120220499E-2</v>
      </c>
      <c r="FK27" s="261">
        <v>1219500.3060000001</v>
      </c>
      <c r="FL27" s="261">
        <v>1279082.9979999999</v>
      </c>
      <c r="FM27" s="262">
        <v>-4.6582350084525E-2</v>
      </c>
      <c r="FN27" s="261">
        <v>1520225.192</v>
      </c>
      <c r="FO27" s="261">
        <v>1593706.446</v>
      </c>
      <c r="FP27" s="262">
        <v>-4.6107144878800299E-2</v>
      </c>
      <c r="FQ27" s="261">
        <v>0</v>
      </c>
      <c r="FR27" s="261">
        <v>0</v>
      </c>
      <c r="FS27" s="262">
        <v>0</v>
      </c>
      <c r="FT27" s="261">
        <v>0</v>
      </c>
      <c r="FU27" s="261">
        <v>0</v>
      </c>
      <c r="FV27" s="262">
        <v>0</v>
      </c>
      <c r="FW27" s="261">
        <v>0</v>
      </c>
      <c r="FX27" s="261">
        <v>0</v>
      </c>
      <c r="FY27" s="263">
        <v>0</v>
      </c>
      <c r="FZ27" s="261">
        <v>-119248.762</v>
      </c>
      <c r="GA27" s="261">
        <v>-144544.43599999999</v>
      </c>
      <c r="GB27" s="262">
        <v>-0.17500275140303601</v>
      </c>
      <c r="GC27" s="261">
        <v>-1338748.3259999999</v>
      </c>
      <c r="GD27" s="261">
        <v>-1423627.4339999999</v>
      </c>
      <c r="GE27" s="262">
        <v>-5.9621714201947597E-2</v>
      </c>
      <c r="GF27" s="261">
        <v>-1494928.7760000001</v>
      </c>
      <c r="GG27" s="261">
        <v>-1606803.392</v>
      </c>
      <c r="GH27" s="262">
        <v>-6.96255786843646E-2</v>
      </c>
      <c r="GI27" s="261">
        <v>0</v>
      </c>
      <c r="GJ27" s="261">
        <v>0</v>
      </c>
      <c r="GK27" s="262">
        <v>0</v>
      </c>
      <c r="GL27" s="261">
        <v>0</v>
      </c>
      <c r="GM27" s="261">
        <v>0</v>
      </c>
      <c r="GN27" s="262">
        <v>0</v>
      </c>
      <c r="GO27" s="261">
        <v>0</v>
      </c>
      <c r="GP27" s="261">
        <v>0</v>
      </c>
      <c r="GQ27" s="262">
        <v>0</v>
      </c>
      <c r="GR27" s="261">
        <v>0</v>
      </c>
      <c r="GS27" s="261">
        <v>0</v>
      </c>
      <c r="GT27" s="262">
        <v>0</v>
      </c>
      <c r="GU27" s="261">
        <v>0</v>
      </c>
      <c r="GV27" s="261">
        <v>0</v>
      </c>
      <c r="GW27" s="262">
        <v>0</v>
      </c>
      <c r="GX27" s="261">
        <v>0</v>
      </c>
      <c r="GY27" s="261">
        <v>0</v>
      </c>
      <c r="GZ27" s="262">
        <v>0</v>
      </c>
      <c r="HA27" s="261">
        <v>119248.762</v>
      </c>
      <c r="HB27" s="261">
        <v>144544.43599999999</v>
      </c>
      <c r="HC27" s="262">
        <v>-0.17500275140303601</v>
      </c>
      <c r="HD27" s="261">
        <v>1338749.068</v>
      </c>
      <c r="HE27" s="261">
        <v>1423627.4339999999</v>
      </c>
      <c r="HF27" s="262">
        <v>-5.9621192998167503E-2</v>
      </c>
      <c r="HG27" s="261">
        <v>1494929.5179999999</v>
      </c>
      <c r="HH27" s="261">
        <v>1606803.392</v>
      </c>
      <c r="HI27" s="262">
        <v>-6.9625116897936004E-2</v>
      </c>
      <c r="HJ27" s="261">
        <v>0</v>
      </c>
      <c r="HK27" s="261">
        <v>0</v>
      </c>
      <c r="HL27" s="262">
        <v>0</v>
      </c>
      <c r="HM27" s="261">
        <v>0</v>
      </c>
      <c r="HN27" s="261">
        <v>0</v>
      </c>
      <c r="HO27" s="262">
        <v>0</v>
      </c>
      <c r="HP27" s="261">
        <v>0</v>
      </c>
      <c r="HQ27" s="261">
        <v>0</v>
      </c>
      <c r="HR27" s="263">
        <v>0</v>
      </c>
      <c r="HS27" s="261">
        <v>-76900.410999999993</v>
      </c>
      <c r="HT27" s="261">
        <v>-78195.680999999997</v>
      </c>
      <c r="HU27" s="262">
        <v>-1.6564469845847401E-2</v>
      </c>
      <c r="HV27" s="261">
        <v>-1415648.737</v>
      </c>
      <c r="HW27" s="261">
        <v>-1501823.115</v>
      </c>
      <c r="HX27" s="262">
        <v>-5.7379845295562698E-2</v>
      </c>
      <c r="HY27" s="261">
        <v>-1493633.5060000001</v>
      </c>
      <c r="HZ27" s="261">
        <v>-1614263.3829999999</v>
      </c>
      <c r="IA27" s="262">
        <v>-7.4727506223809304E-2</v>
      </c>
      <c r="IB27" s="261">
        <v>0</v>
      </c>
      <c r="IC27" s="261">
        <v>0</v>
      </c>
      <c r="ID27" s="262">
        <v>0</v>
      </c>
      <c r="IE27" s="261">
        <v>0</v>
      </c>
      <c r="IF27" s="261">
        <v>0</v>
      </c>
      <c r="IG27" s="262">
        <v>0</v>
      </c>
      <c r="IH27" s="261">
        <v>0</v>
      </c>
      <c r="II27" s="261">
        <v>0</v>
      </c>
      <c r="IJ27" s="262">
        <v>0</v>
      </c>
      <c r="IK27" s="261">
        <v>0</v>
      </c>
      <c r="IL27" s="261">
        <v>0</v>
      </c>
      <c r="IM27" s="262">
        <v>0</v>
      </c>
      <c r="IN27" s="261">
        <v>0</v>
      </c>
      <c r="IO27" s="261">
        <v>0</v>
      </c>
      <c r="IP27" s="262">
        <v>0</v>
      </c>
      <c r="IQ27" s="261">
        <v>0</v>
      </c>
      <c r="IR27" s="261">
        <v>0</v>
      </c>
      <c r="IS27" s="262">
        <v>0</v>
      </c>
      <c r="IT27" s="261">
        <v>76900.410999999993</v>
      </c>
      <c r="IU27" s="261">
        <v>78195.680999999997</v>
      </c>
      <c r="IV27" s="262">
        <v>-1.6564469845847401E-2</v>
      </c>
      <c r="IW27" s="261">
        <v>1415649.4790000001</v>
      </c>
      <c r="IX27" s="261">
        <v>1501823.115</v>
      </c>
      <c r="IY27" s="262">
        <v>-5.7379351229388899E-2</v>
      </c>
      <c r="IZ27" s="261">
        <v>1493634.2479999999</v>
      </c>
      <c r="JA27" s="261">
        <v>1614263.3829999999</v>
      </c>
      <c r="JB27" s="262">
        <v>-7.4727046571433003E-2</v>
      </c>
      <c r="JC27" s="261">
        <v>0</v>
      </c>
      <c r="JD27" s="261">
        <v>0</v>
      </c>
      <c r="JE27" s="262">
        <v>0</v>
      </c>
      <c r="JF27" s="261">
        <v>0</v>
      </c>
      <c r="JG27" s="261">
        <v>0</v>
      </c>
      <c r="JH27" s="262">
        <v>0</v>
      </c>
      <c r="JI27" s="261">
        <v>0</v>
      </c>
      <c r="JJ27" s="261">
        <v>0</v>
      </c>
      <c r="JK27" s="263">
        <v>0</v>
      </c>
      <c r="JL27" s="261">
        <v>-120188.836</v>
      </c>
      <c r="JM27" s="261">
        <v>-77984.769</v>
      </c>
      <c r="JN27" s="262">
        <v>0.54118345852893401</v>
      </c>
      <c r="JO27" s="261">
        <v>-1535837.5730000001</v>
      </c>
      <c r="JP27" s="261">
        <v>-1579807.8840000001</v>
      </c>
      <c r="JQ27" s="262">
        <v>-2.7832695003818599E-2</v>
      </c>
      <c r="JR27" s="261">
        <v>-1535837.5730000001</v>
      </c>
      <c r="JS27" s="261">
        <v>-1579807.8840000001</v>
      </c>
      <c r="JT27" s="262">
        <v>-2.7832695003818599E-2</v>
      </c>
      <c r="JU27" s="261">
        <v>0</v>
      </c>
      <c r="JV27" s="261">
        <v>0</v>
      </c>
      <c r="JW27" s="262">
        <v>0</v>
      </c>
      <c r="JX27" s="261">
        <v>0</v>
      </c>
      <c r="JY27" s="261">
        <v>0</v>
      </c>
      <c r="JZ27" s="262">
        <v>0</v>
      </c>
      <c r="KA27" s="261">
        <v>0</v>
      </c>
      <c r="KB27" s="261">
        <v>0</v>
      </c>
      <c r="KC27" s="262">
        <v>0</v>
      </c>
      <c r="KD27" s="261">
        <v>0</v>
      </c>
      <c r="KE27" s="261">
        <v>0</v>
      </c>
      <c r="KF27" s="262">
        <v>0</v>
      </c>
      <c r="KG27" s="261">
        <v>0</v>
      </c>
      <c r="KH27" s="261">
        <v>0</v>
      </c>
      <c r="KI27" s="262">
        <v>0</v>
      </c>
      <c r="KJ27" s="261">
        <v>0</v>
      </c>
      <c r="KK27" s="261">
        <v>0</v>
      </c>
      <c r="KL27" s="262">
        <v>0</v>
      </c>
      <c r="KM27" s="261">
        <v>120188.836</v>
      </c>
      <c r="KN27" s="261">
        <v>77984.769</v>
      </c>
      <c r="KO27" s="262">
        <v>0.54118345852893401</v>
      </c>
      <c r="KP27" s="261">
        <v>1535838.3149999999</v>
      </c>
      <c r="KQ27" s="261">
        <v>1579807.8840000001</v>
      </c>
      <c r="KR27" s="262">
        <v>-2.7832225326456302E-2</v>
      </c>
      <c r="KS27" s="261">
        <v>1535838.3149999999</v>
      </c>
      <c r="KT27" s="261">
        <v>1579807.8840000001</v>
      </c>
      <c r="KU27" s="262">
        <v>-2.7832225326456302E-2</v>
      </c>
      <c r="KV27" s="261">
        <v>0</v>
      </c>
      <c r="KW27" s="261">
        <v>0</v>
      </c>
      <c r="KX27" s="262">
        <v>0</v>
      </c>
      <c r="KY27" s="261">
        <v>0</v>
      </c>
      <c r="KZ27" s="261">
        <v>0</v>
      </c>
      <c r="LA27" s="262">
        <v>0</v>
      </c>
      <c r="LB27" s="261">
        <v>0</v>
      </c>
      <c r="LC27" s="261">
        <v>0</v>
      </c>
      <c r="LD27" s="263">
        <v>0</v>
      </c>
      <c r="LE27" s="261">
        <v>-138536.266</v>
      </c>
      <c r="LF27" s="261">
        <v>-85443.509000000005</v>
      </c>
      <c r="LG27" s="262">
        <v>0.62137847124232704</v>
      </c>
      <c r="LH27" s="261">
        <v>-138536.266</v>
      </c>
      <c r="LI27" s="261">
        <v>-85443.509000000005</v>
      </c>
      <c r="LJ27" s="262">
        <v>0.62137847124232704</v>
      </c>
      <c r="LK27" s="261">
        <v>-1588930.33</v>
      </c>
      <c r="LL27" s="261">
        <v>-1542491.1189999999</v>
      </c>
      <c r="LM27" s="262">
        <v>3.0106631038567502E-2</v>
      </c>
      <c r="LN27" s="261">
        <v>0</v>
      </c>
      <c r="LO27" s="261">
        <v>0</v>
      </c>
      <c r="LP27" s="262">
        <v>0</v>
      </c>
      <c r="LQ27" s="261">
        <v>0</v>
      </c>
      <c r="LR27" s="261">
        <v>0</v>
      </c>
      <c r="LS27" s="262">
        <v>0</v>
      </c>
      <c r="LT27" s="261">
        <v>0</v>
      </c>
      <c r="LU27" s="261">
        <v>0</v>
      </c>
      <c r="LV27" s="262">
        <v>0</v>
      </c>
      <c r="LW27" s="261">
        <v>0</v>
      </c>
      <c r="LX27" s="261">
        <v>0</v>
      </c>
      <c r="LY27" s="262">
        <v>0</v>
      </c>
      <c r="LZ27" s="261">
        <v>0</v>
      </c>
      <c r="MA27" s="261">
        <v>0</v>
      </c>
      <c r="MB27" s="262">
        <v>0</v>
      </c>
      <c r="MC27" s="261">
        <v>0</v>
      </c>
      <c r="MD27" s="261">
        <v>0</v>
      </c>
      <c r="ME27" s="262">
        <v>0</v>
      </c>
      <c r="MF27" s="261">
        <v>138536.266</v>
      </c>
      <c r="MG27" s="261">
        <v>85443.509000000005</v>
      </c>
      <c r="MH27" s="262">
        <v>0.62137847124232704</v>
      </c>
      <c r="MI27" s="261">
        <v>138536.266</v>
      </c>
      <c r="MJ27" s="261">
        <v>85443.509000000005</v>
      </c>
      <c r="MK27" s="262">
        <v>0.62137847124232704</v>
      </c>
      <c r="ML27" s="261">
        <v>1588931.0719999999</v>
      </c>
      <c r="MM27" s="261">
        <v>1542491.1189999999</v>
      </c>
      <c r="MN27" s="262">
        <v>3.01071120786142E-2</v>
      </c>
      <c r="MO27" s="261">
        <v>0</v>
      </c>
      <c r="MP27" s="261">
        <v>0</v>
      </c>
      <c r="MQ27" s="262">
        <v>0</v>
      </c>
      <c r="MR27" s="261">
        <v>0</v>
      </c>
      <c r="MS27" s="261">
        <v>0</v>
      </c>
      <c r="MT27" s="262">
        <v>0</v>
      </c>
      <c r="MU27" s="261">
        <v>0</v>
      </c>
      <c r="MV27" s="261">
        <v>0</v>
      </c>
      <c r="MW27" s="263">
        <v>0</v>
      </c>
      <c r="MX27" s="261">
        <v>-102627.17200000001</v>
      </c>
      <c r="MY27" s="261">
        <v>-90795.297000000006</v>
      </c>
      <c r="MZ27" s="262">
        <v>0.130313743012482</v>
      </c>
      <c r="NA27" s="261">
        <v>-241163.43799999999</v>
      </c>
      <c r="NB27" s="261">
        <v>-176238.80600000001</v>
      </c>
      <c r="NC27" s="262">
        <v>0.36839010359614</v>
      </c>
      <c r="ND27" s="261">
        <v>-1600762.2050000001</v>
      </c>
      <c r="NE27" s="261">
        <v>-1518542.334</v>
      </c>
      <c r="NF27" s="262">
        <v>5.4143943938279503E-2</v>
      </c>
      <c r="NG27" s="261">
        <v>0</v>
      </c>
      <c r="NH27" s="261">
        <v>0</v>
      </c>
      <c r="NI27" s="262">
        <v>0</v>
      </c>
      <c r="NJ27" s="261">
        <v>0</v>
      </c>
      <c r="NK27" s="261">
        <v>0</v>
      </c>
      <c r="NL27" s="262">
        <v>0</v>
      </c>
      <c r="NM27" s="261">
        <v>0</v>
      </c>
      <c r="NN27" s="261">
        <v>0</v>
      </c>
      <c r="NO27" s="262">
        <v>0</v>
      </c>
      <c r="NP27" s="261">
        <v>0</v>
      </c>
      <c r="NQ27" s="261">
        <v>0</v>
      </c>
      <c r="NR27" s="262">
        <v>0</v>
      </c>
      <c r="NS27" s="261">
        <v>0</v>
      </c>
      <c r="NT27" s="261">
        <v>0</v>
      </c>
      <c r="NU27" s="262">
        <v>0</v>
      </c>
      <c r="NV27" s="261">
        <v>0</v>
      </c>
      <c r="NW27" s="261">
        <v>0</v>
      </c>
      <c r="NX27" s="262">
        <v>0</v>
      </c>
      <c r="NY27" s="261">
        <v>102627.17200000001</v>
      </c>
      <c r="NZ27" s="261">
        <v>90795.297000000006</v>
      </c>
      <c r="OA27" s="262">
        <v>0.130313743012482</v>
      </c>
      <c r="OB27" s="261">
        <v>241163.43799999999</v>
      </c>
      <c r="OC27" s="261">
        <v>176238.80600000001</v>
      </c>
      <c r="OD27" s="262">
        <v>0.36839010359614</v>
      </c>
      <c r="OE27" s="261">
        <v>1600762.9469999999</v>
      </c>
      <c r="OF27" s="261">
        <v>1518542.334</v>
      </c>
      <c r="OG27" s="262">
        <v>5.4144432564762403E-2</v>
      </c>
      <c r="OH27" s="261">
        <v>0</v>
      </c>
      <c r="OI27" s="261">
        <v>0</v>
      </c>
      <c r="OJ27" s="262">
        <v>0</v>
      </c>
      <c r="OK27" s="261">
        <v>0</v>
      </c>
      <c r="OL27" s="261">
        <v>0</v>
      </c>
      <c r="OM27" s="262">
        <v>0</v>
      </c>
      <c r="ON27" s="261">
        <v>0</v>
      </c>
      <c r="OO27" s="261">
        <v>0</v>
      </c>
      <c r="OP27" s="263">
        <v>0</v>
      </c>
      <c r="OQ27" s="261">
        <v>-104897.592</v>
      </c>
      <c r="OR27" s="261">
        <v>-113220.591</v>
      </c>
      <c r="OS27" s="262">
        <v>-7.3511354484980501E-2</v>
      </c>
      <c r="OT27" s="261">
        <v>-346061.03</v>
      </c>
      <c r="OU27" s="261">
        <v>-289459.397</v>
      </c>
      <c r="OV27" s="262">
        <v>0.19554256516329299</v>
      </c>
      <c r="OW27" s="261">
        <v>-1592439.206</v>
      </c>
      <c r="OX27" s="261">
        <v>-1521095.1980000001</v>
      </c>
      <c r="OY27" s="262">
        <v>4.69030525464849E-2</v>
      </c>
      <c r="OZ27" s="261">
        <v>0</v>
      </c>
      <c r="PA27" s="261">
        <v>0</v>
      </c>
      <c r="PB27" s="262">
        <v>0</v>
      </c>
      <c r="PC27" s="261">
        <v>0</v>
      </c>
      <c r="PD27" s="261">
        <v>0</v>
      </c>
      <c r="PE27" s="262">
        <v>0</v>
      </c>
      <c r="PF27" s="261">
        <v>0</v>
      </c>
      <c r="PG27" s="261">
        <v>0</v>
      </c>
      <c r="PH27" s="262">
        <v>0</v>
      </c>
      <c r="PI27" s="261">
        <v>0</v>
      </c>
      <c r="PJ27" s="261">
        <v>0</v>
      </c>
      <c r="PK27" s="262">
        <v>0</v>
      </c>
      <c r="PL27" s="261">
        <v>0</v>
      </c>
      <c r="PM27" s="261">
        <v>0</v>
      </c>
      <c r="PN27" s="262">
        <v>0</v>
      </c>
      <c r="PO27" s="261">
        <v>0</v>
      </c>
      <c r="PP27" s="261">
        <v>0</v>
      </c>
      <c r="PQ27" s="262">
        <v>0</v>
      </c>
      <c r="PR27" s="261">
        <v>104897.592</v>
      </c>
      <c r="PS27" s="261">
        <v>113220.591</v>
      </c>
      <c r="PT27" s="262">
        <v>-7.3511354484980501E-2</v>
      </c>
      <c r="PU27" s="261">
        <v>346061.03</v>
      </c>
      <c r="PV27" s="261">
        <v>289459.397</v>
      </c>
      <c r="PW27" s="262">
        <v>0.19554256516329299</v>
      </c>
      <c r="PX27" s="261">
        <v>1592439.9480000001</v>
      </c>
      <c r="PY27" s="261">
        <v>1521095.1980000001</v>
      </c>
      <c r="PZ27" s="262">
        <v>4.6903540352902999E-2</v>
      </c>
      <c r="QA27" s="261">
        <v>0</v>
      </c>
      <c r="QB27" s="261">
        <v>0</v>
      </c>
      <c r="QC27" s="262">
        <v>0</v>
      </c>
      <c r="QD27" s="261">
        <v>0</v>
      </c>
      <c r="QE27" s="261">
        <v>0</v>
      </c>
      <c r="QF27" s="262">
        <v>0</v>
      </c>
      <c r="QG27" s="261">
        <v>0</v>
      </c>
      <c r="QH27" s="261">
        <v>0</v>
      </c>
      <c r="QI27" s="263">
        <v>0</v>
      </c>
      <c r="QJ27" s="261">
        <v>-97533.115999999995</v>
      </c>
      <c r="QK27" s="261">
        <v>-85306.027000000002</v>
      </c>
      <c r="QL27" s="262">
        <v>0.14333206491963299</v>
      </c>
      <c r="QM27" s="261">
        <v>-443594.14600000001</v>
      </c>
      <c r="QN27" s="261">
        <v>-374765.424</v>
      </c>
      <c r="QO27" s="262">
        <v>0.183658143447086</v>
      </c>
      <c r="QP27" s="261">
        <v>-1604666.2949999999</v>
      </c>
      <c r="QQ27" s="261">
        <v>-1497038.875</v>
      </c>
      <c r="QR27" s="262">
        <v>7.1893537166828697E-2</v>
      </c>
      <c r="QS27" s="261">
        <v>0</v>
      </c>
      <c r="QT27" s="261">
        <v>0</v>
      </c>
      <c r="QU27" s="262">
        <v>0</v>
      </c>
      <c r="QV27" s="261">
        <v>0</v>
      </c>
      <c r="QW27" s="261">
        <v>0</v>
      </c>
      <c r="QX27" s="262">
        <v>0</v>
      </c>
      <c r="QY27" s="261">
        <v>0</v>
      </c>
      <c r="QZ27" s="261">
        <v>0</v>
      </c>
      <c r="RA27" s="262">
        <v>0</v>
      </c>
      <c r="RB27" s="261">
        <v>0</v>
      </c>
      <c r="RC27" s="261">
        <v>0</v>
      </c>
      <c r="RD27" s="262">
        <v>0</v>
      </c>
      <c r="RE27" s="261">
        <v>0</v>
      </c>
      <c r="RF27" s="261">
        <v>0</v>
      </c>
      <c r="RG27" s="262">
        <v>0</v>
      </c>
      <c r="RH27" s="261">
        <v>0</v>
      </c>
      <c r="RI27" s="261">
        <v>0</v>
      </c>
      <c r="RJ27" s="262">
        <v>0</v>
      </c>
      <c r="RK27" s="261">
        <v>97533.115999999995</v>
      </c>
      <c r="RL27" s="261">
        <v>85306.769</v>
      </c>
      <c r="RM27" s="262">
        <v>0.14332212019423701</v>
      </c>
      <c r="RN27" s="261">
        <v>443594.14600000001</v>
      </c>
      <c r="RO27" s="261">
        <v>374766.16600000003</v>
      </c>
      <c r="RP27" s="262">
        <v>0.18365579992084999</v>
      </c>
      <c r="RQ27" s="261">
        <v>1604666.2949999999</v>
      </c>
      <c r="RR27" s="261">
        <v>1497039.6170000001</v>
      </c>
      <c r="RS27" s="262">
        <v>7.1893005888300304E-2</v>
      </c>
      <c r="RT27" s="261">
        <v>0</v>
      </c>
      <c r="RU27" s="261">
        <v>0</v>
      </c>
      <c r="RV27" s="262">
        <v>0</v>
      </c>
      <c r="RW27" s="261">
        <v>0</v>
      </c>
      <c r="RX27" s="261">
        <v>0</v>
      </c>
      <c r="RY27" s="262">
        <v>0</v>
      </c>
      <c r="RZ27" s="261">
        <v>0</v>
      </c>
      <c r="SA27" s="261">
        <v>0</v>
      </c>
      <c r="SB27" s="263">
        <v>0</v>
      </c>
      <c r="SC27" s="261">
        <v>-113973.48</v>
      </c>
      <c r="SD27" s="261">
        <v>-110447.626</v>
      </c>
      <c r="SE27" s="262">
        <v>3.1923311778561801E-2</v>
      </c>
      <c r="SF27" s="261">
        <v>-557567.62600000005</v>
      </c>
      <c r="SG27" s="261">
        <v>-485213.05</v>
      </c>
      <c r="SH27" s="262">
        <v>0.14911918795259099</v>
      </c>
      <c r="SI27" s="261">
        <v>-1608192.149</v>
      </c>
      <c r="SJ27" s="261">
        <v>-1489721.6170000001</v>
      </c>
      <c r="SK27" s="262">
        <v>7.9525282205796105E-2</v>
      </c>
      <c r="SL27" s="261">
        <v>0</v>
      </c>
      <c r="SM27" s="261">
        <v>0</v>
      </c>
      <c r="SN27" s="262">
        <v>0</v>
      </c>
      <c r="SO27" s="261">
        <v>0</v>
      </c>
      <c r="SP27" s="261">
        <v>0</v>
      </c>
      <c r="SQ27" s="262">
        <v>0</v>
      </c>
      <c r="SR27" s="261">
        <v>0</v>
      </c>
      <c r="SS27" s="261">
        <v>0</v>
      </c>
      <c r="ST27" s="262">
        <v>0</v>
      </c>
      <c r="SU27" s="261">
        <v>0</v>
      </c>
      <c r="SV27" s="261">
        <v>0</v>
      </c>
      <c r="SW27" s="262">
        <v>0</v>
      </c>
      <c r="SX27" s="261">
        <v>0</v>
      </c>
      <c r="SY27" s="261">
        <v>0</v>
      </c>
      <c r="SZ27" s="262">
        <v>0</v>
      </c>
      <c r="TA27" s="261">
        <v>0</v>
      </c>
      <c r="TB27" s="261">
        <v>0</v>
      </c>
      <c r="TC27" s="262">
        <v>0</v>
      </c>
      <c r="TD27" s="261">
        <v>113973.48</v>
      </c>
      <c r="TE27" s="261">
        <v>110447.626</v>
      </c>
      <c r="TF27" s="262">
        <v>3.1923311778561801E-2</v>
      </c>
      <c r="TG27" s="261">
        <v>557567.62600000005</v>
      </c>
      <c r="TH27" s="261">
        <v>485213.79200000002</v>
      </c>
      <c r="TI27" s="262">
        <v>0.14911743069331401</v>
      </c>
      <c r="TJ27" s="261">
        <v>1608192.149</v>
      </c>
      <c r="TK27" s="261">
        <v>1489722.3589999999</v>
      </c>
      <c r="TL27" s="262">
        <v>7.9524744516504903E-2</v>
      </c>
      <c r="TM27" s="261">
        <v>0</v>
      </c>
      <c r="TN27" s="261">
        <v>0</v>
      </c>
      <c r="TO27" s="262">
        <v>0</v>
      </c>
      <c r="TP27" s="261">
        <v>0</v>
      </c>
      <c r="TQ27" s="261">
        <v>0</v>
      </c>
      <c r="TR27" s="262">
        <v>0</v>
      </c>
      <c r="TS27" s="261">
        <v>0</v>
      </c>
      <c r="TT27" s="261">
        <v>0</v>
      </c>
      <c r="TU27" s="263">
        <v>0</v>
      </c>
      <c r="TV27" s="261">
        <v>-154190.43299999999</v>
      </c>
      <c r="TW27" s="261">
        <v>-171035.32399999999</v>
      </c>
      <c r="TX27" s="262">
        <v>-9.8487789574976906E-2</v>
      </c>
      <c r="TY27" s="261">
        <v>-711758.05900000001</v>
      </c>
      <c r="TZ27" s="261">
        <v>-656248.37399999995</v>
      </c>
      <c r="UA27" s="262">
        <v>8.4586396247589096E-2</v>
      </c>
      <c r="UB27" s="261">
        <v>-1591347.2579999999</v>
      </c>
      <c r="UC27" s="261">
        <v>-1515393.352</v>
      </c>
      <c r="UD27" s="262">
        <v>5.0121577938663099E-2</v>
      </c>
      <c r="UE27" s="261">
        <v>0</v>
      </c>
      <c r="UF27" s="261">
        <v>0</v>
      </c>
      <c r="UG27" s="262">
        <v>0</v>
      </c>
      <c r="UH27" s="261">
        <v>0</v>
      </c>
      <c r="UI27" s="261">
        <v>0</v>
      </c>
      <c r="UJ27" s="262">
        <v>0</v>
      </c>
      <c r="UK27" s="261">
        <v>0</v>
      </c>
      <c r="UL27" s="261">
        <v>0</v>
      </c>
      <c r="UM27" s="262">
        <v>0</v>
      </c>
      <c r="UN27" s="261">
        <v>0</v>
      </c>
      <c r="UO27" s="261">
        <v>0</v>
      </c>
      <c r="UP27" s="262">
        <v>0</v>
      </c>
      <c r="UQ27" s="261">
        <v>0</v>
      </c>
      <c r="UR27" s="261">
        <v>0</v>
      </c>
      <c r="US27" s="262">
        <v>0</v>
      </c>
      <c r="UT27" s="261">
        <v>0</v>
      </c>
      <c r="UU27" s="261">
        <v>0</v>
      </c>
      <c r="UV27" s="262">
        <v>0</v>
      </c>
      <c r="UW27" s="261">
        <v>154190.43299999999</v>
      </c>
      <c r="UX27" s="261">
        <v>171035.32399999999</v>
      </c>
      <c r="UY27" s="262">
        <v>-9.8487789574976906E-2</v>
      </c>
      <c r="UZ27" s="261">
        <v>711758.05900000001</v>
      </c>
      <c r="VA27" s="261">
        <v>656249.11600000004</v>
      </c>
      <c r="VB27" s="262">
        <v>8.4585169940251698E-2</v>
      </c>
      <c r="VC27" s="261">
        <v>1591347.2579999999</v>
      </c>
      <c r="VD27" s="261">
        <v>1515394.094</v>
      </c>
      <c r="VE27" s="262">
        <v>5.0121063755445699E-2</v>
      </c>
      <c r="VF27" s="261">
        <v>0</v>
      </c>
      <c r="VG27" s="261">
        <v>0</v>
      </c>
      <c r="VH27" s="262">
        <v>0</v>
      </c>
      <c r="VI27" s="261">
        <v>0</v>
      </c>
      <c r="VJ27" s="261">
        <v>0</v>
      </c>
      <c r="VK27" s="262">
        <v>0</v>
      </c>
      <c r="VL27" s="261">
        <v>0</v>
      </c>
      <c r="VM27" s="261">
        <v>0</v>
      </c>
      <c r="VN27" s="263">
        <v>0</v>
      </c>
    </row>
    <row r="28" spans="1:586" ht="21">
      <c r="A28" s="267" t="s">
        <v>116</v>
      </c>
      <c r="B28" s="261">
        <v>-1002501.307</v>
      </c>
      <c r="C28" s="261">
        <v>-1232915.2309999999</v>
      </c>
      <c r="D28" s="262">
        <v>-0.18688545506337401</v>
      </c>
      <c r="E28" s="261">
        <v>-6902141.7539999997</v>
      </c>
      <c r="F28" s="261">
        <v>-5859338.3109999998</v>
      </c>
      <c r="G28" s="262">
        <v>0.177972901998558</v>
      </c>
      <c r="H28" s="261">
        <v>-11269798.177999999</v>
      </c>
      <c r="I28" s="261">
        <v>-10256650.551000001</v>
      </c>
      <c r="J28" s="262">
        <v>9.8779579353146504E-2</v>
      </c>
      <c r="K28" s="261">
        <v>0</v>
      </c>
      <c r="L28" s="261">
        <v>0</v>
      </c>
      <c r="M28" s="262">
        <v>0</v>
      </c>
      <c r="N28" s="261">
        <v>0</v>
      </c>
      <c r="O28" s="261">
        <v>0</v>
      </c>
      <c r="P28" s="262">
        <v>0</v>
      </c>
      <c r="Q28" s="261">
        <v>0</v>
      </c>
      <c r="R28" s="261">
        <v>0</v>
      </c>
      <c r="S28" s="262">
        <v>0</v>
      </c>
      <c r="T28" s="261">
        <v>0</v>
      </c>
      <c r="U28" s="261">
        <v>0</v>
      </c>
      <c r="V28" s="262">
        <v>0</v>
      </c>
      <c r="W28" s="261">
        <v>0</v>
      </c>
      <c r="X28" s="261">
        <v>0</v>
      </c>
      <c r="Y28" s="262">
        <v>0</v>
      </c>
      <c r="Z28" s="261">
        <v>0</v>
      </c>
      <c r="AA28" s="261">
        <v>0</v>
      </c>
      <c r="AB28" s="262">
        <v>0</v>
      </c>
      <c r="AC28" s="261">
        <v>0</v>
      </c>
      <c r="AD28" s="261">
        <v>0</v>
      </c>
      <c r="AE28" s="262">
        <v>0</v>
      </c>
      <c r="AF28" s="261">
        <v>0</v>
      </c>
      <c r="AG28" s="261">
        <v>0</v>
      </c>
      <c r="AH28" s="262">
        <v>0</v>
      </c>
      <c r="AI28" s="261">
        <v>0</v>
      </c>
      <c r="AJ28" s="261">
        <v>0</v>
      </c>
      <c r="AK28" s="262">
        <v>0</v>
      </c>
      <c r="AL28" s="261">
        <v>0</v>
      </c>
      <c r="AM28" s="261">
        <v>0</v>
      </c>
      <c r="AN28" s="262">
        <v>0</v>
      </c>
      <c r="AO28" s="261">
        <v>0</v>
      </c>
      <c r="AP28" s="261">
        <v>0</v>
      </c>
      <c r="AQ28" s="262">
        <v>0</v>
      </c>
      <c r="AR28" s="261">
        <v>0</v>
      </c>
      <c r="AS28" s="261">
        <v>0</v>
      </c>
      <c r="AT28" s="263">
        <v>0</v>
      </c>
      <c r="AU28" s="261">
        <v>-1419665.0689999999</v>
      </c>
      <c r="AV28" s="261">
        <v>-962854.09499999997</v>
      </c>
      <c r="AW28" s="262">
        <v>0.47443426410311901</v>
      </c>
      <c r="AX28" s="261">
        <v>-8321806.8229999999</v>
      </c>
      <c r="AY28" s="261">
        <v>-6822192.4060000004</v>
      </c>
      <c r="AZ28" s="262">
        <v>0.21981414884768</v>
      </c>
      <c r="BA28" s="261">
        <v>-11726609.152000001</v>
      </c>
      <c r="BB28" s="261">
        <v>-10707903.581</v>
      </c>
      <c r="BC28" s="262">
        <v>9.5135855799783398E-2</v>
      </c>
      <c r="BD28" s="261">
        <v>0</v>
      </c>
      <c r="BE28" s="261">
        <v>0</v>
      </c>
      <c r="BF28" s="262">
        <v>0</v>
      </c>
      <c r="BG28" s="261">
        <v>0</v>
      </c>
      <c r="BH28" s="261">
        <v>0</v>
      </c>
      <c r="BI28" s="262">
        <v>0</v>
      </c>
      <c r="BJ28" s="261">
        <v>0</v>
      </c>
      <c r="BK28" s="261">
        <v>0</v>
      </c>
      <c r="BL28" s="262">
        <v>0</v>
      </c>
      <c r="BM28" s="261">
        <v>0</v>
      </c>
      <c r="BN28" s="261">
        <v>0</v>
      </c>
      <c r="BO28" s="262">
        <v>0</v>
      </c>
      <c r="BP28" s="261">
        <v>0</v>
      </c>
      <c r="BQ28" s="261">
        <v>0</v>
      </c>
      <c r="BR28" s="262">
        <v>0</v>
      </c>
      <c r="BS28" s="261">
        <v>0</v>
      </c>
      <c r="BT28" s="261">
        <v>0</v>
      </c>
      <c r="BU28" s="262">
        <v>0</v>
      </c>
      <c r="BV28" s="261">
        <v>0</v>
      </c>
      <c r="BW28" s="261">
        <v>0</v>
      </c>
      <c r="BX28" s="262">
        <v>0</v>
      </c>
      <c r="BY28" s="261">
        <v>0</v>
      </c>
      <c r="BZ28" s="261">
        <v>0</v>
      </c>
      <c r="CA28" s="262">
        <v>0</v>
      </c>
      <c r="CB28" s="261">
        <v>0</v>
      </c>
      <c r="CC28" s="261">
        <v>0</v>
      </c>
      <c r="CD28" s="262">
        <v>0</v>
      </c>
      <c r="CE28" s="261">
        <v>0</v>
      </c>
      <c r="CF28" s="261">
        <v>0</v>
      </c>
      <c r="CG28" s="262">
        <v>0</v>
      </c>
      <c r="CH28" s="261">
        <v>0</v>
      </c>
      <c r="CI28" s="261">
        <v>0</v>
      </c>
      <c r="CJ28" s="262">
        <v>0</v>
      </c>
      <c r="CK28" s="261">
        <v>0</v>
      </c>
      <c r="CL28" s="261">
        <v>0</v>
      </c>
      <c r="CM28" s="263">
        <v>0</v>
      </c>
      <c r="CN28" s="261">
        <v>-941573.77500000002</v>
      </c>
      <c r="CO28" s="261">
        <v>-399773.61300000001</v>
      </c>
      <c r="CP28" s="262">
        <v>1.3552674423261599</v>
      </c>
      <c r="CQ28" s="261">
        <v>-9263380.5979999993</v>
      </c>
      <c r="CR28" s="261">
        <v>-7221966.0190000003</v>
      </c>
      <c r="CS28" s="262">
        <v>0.28266743067321498</v>
      </c>
      <c r="CT28" s="261">
        <v>-12268409.313999999</v>
      </c>
      <c r="CU28" s="261">
        <v>-9863294.1239999998</v>
      </c>
      <c r="CV28" s="262">
        <v>0.24384502375810899</v>
      </c>
      <c r="CW28" s="261">
        <v>0</v>
      </c>
      <c r="CX28" s="261">
        <v>0</v>
      </c>
      <c r="CY28" s="262">
        <v>0</v>
      </c>
      <c r="CZ28" s="261">
        <v>0</v>
      </c>
      <c r="DA28" s="261">
        <v>0</v>
      </c>
      <c r="DB28" s="262">
        <v>0</v>
      </c>
      <c r="DC28" s="261">
        <v>0</v>
      </c>
      <c r="DD28" s="261">
        <v>0</v>
      </c>
      <c r="DE28" s="262">
        <v>0</v>
      </c>
      <c r="DF28" s="261">
        <v>0</v>
      </c>
      <c r="DG28" s="261">
        <v>0</v>
      </c>
      <c r="DH28" s="262">
        <v>0</v>
      </c>
      <c r="DI28" s="261">
        <v>0</v>
      </c>
      <c r="DJ28" s="261">
        <v>0</v>
      </c>
      <c r="DK28" s="262">
        <v>0</v>
      </c>
      <c r="DL28" s="261">
        <v>0</v>
      </c>
      <c r="DM28" s="261">
        <v>0</v>
      </c>
      <c r="DN28" s="262">
        <v>0</v>
      </c>
      <c r="DO28" s="261">
        <v>0</v>
      </c>
      <c r="DP28" s="261">
        <v>0</v>
      </c>
      <c r="DQ28" s="262">
        <v>0</v>
      </c>
      <c r="DR28" s="261">
        <v>0</v>
      </c>
      <c r="DS28" s="261">
        <v>0</v>
      </c>
      <c r="DT28" s="262">
        <v>0</v>
      </c>
      <c r="DU28" s="261">
        <v>0</v>
      </c>
      <c r="DV28" s="261">
        <v>0</v>
      </c>
      <c r="DW28" s="262">
        <v>0</v>
      </c>
      <c r="DX28" s="261">
        <v>0</v>
      </c>
      <c r="DY28" s="261">
        <v>0</v>
      </c>
      <c r="DZ28" s="262">
        <v>0</v>
      </c>
      <c r="EA28" s="261">
        <v>0</v>
      </c>
      <c r="EB28" s="261">
        <v>0</v>
      </c>
      <c r="EC28" s="262">
        <v>0</v>
      </c>
      <c r="ED28" s="261">
        <v>0</v>
      </c>
      <c r="EE28" s="261">
        <v>0</v>
      </c>
      <c r="EF28" s="263">
        <v>0</v>
      </c>
      <c r="EG28" s="261">
        <v>-676234.15</v>
      </c>
      <c r="EH28" s="261">
        <v>-1131786.2790000001</v>
      </c>
      <c r="EI28" s="262">
        <v>-0.40250720251044902</v>
      </c>
      <c r="EJ28" s="261">
        <v>-9939614.7479999997</v>
      </c>
      <c r="EK28" s="261">
        <v>-8353752.2980000004</v>
      </c>
      <c r="EL28" s="262">
        <v>0.18983833772275899</v>
      </c>
      <c r="EM28" s="261">
        <v>-11812857.185000001</v>
      </c>
      <c r="EN28" s="261">
        <v>-10350519.964</v>
      </c>
      <c r="EO28" s="262">
        <v>0.14128152267578201</v>
      </c>
      <c r="EP28" s="261">
        <v>0</v>
      </c>
      <c r="EQ28" s="261">
        <v>0</v>
      </c>
      <c r="ER28" s="262">
        <v>0</v>
      </c>
      <c r="ES28" s="261">
        <v>0</v>
      </c>
      <c r="ET28" s="261">
        <v>0</v>
      </c>
      <c r="EU28" s="262">
        <v>0</v>
      </c>
      <c r="EV28" s="261">
        <v>0</v>
      </c>
      <c r="EW28" s="261">
        <v>0</v>
      </c>
      <c r="EX28" s="262">
        <v>0</v>
      </c>
      <c r="EY28" s="261">
        <v>0</v>
      </c>
      <c r="EZ28" s="261">
        <v>0</v>
      </c>
      <c r="FA28" s="262">
        <v>0</v>
      </c>
      <c r="FB28" s="261">
        <v>0</v>
      </c>
      <c r="FC28" s="261">
        <v>0</v>
      </c>
      <c r="FD28" s="262">
        <v>0</v>
      </c>
      <c r="FE28" s="261">
        <v>0</v>
      </c>
      <c r="FF28" s="261">
        <v>0</v>
      </c>
      <c r="FG28" s="262">
        <v>0</v>
      </c>
      <c r="FH28" s="261">
        <v>0</v>
      </c>
      <c r="FI28" s="261">
        <v>0</v>
      </c>
      <c r="FJ28" s="262">
        <v>0</v>
      </c>
      <c r="FK28" s="261">
        <v>0</v>
      </c>
      <c r="FL28" s="261">
        <v>0</v>
      </c>
      <c r="FM28" s="262">
        <v>0</v>
      </c>
      <c r="FN28" s="261">
        <v>0</v>
      </c>
      <c r="FO28" s="261">
        <v>0</v>
      </c>
      <c r="FP28" s="262">
        <v>0</v>
      </c>
      <c r="FQ28" s="261">
        <v>0</v>
      </c>
      <c r="FR28" s="261">
        <v>0</v>
      </c>
      <c r="FS28" s="262">
        <v>0</v>
      </c>
      <c r="FT28" s="261">
        <v>0</v>
      </c>
      <c r="FU28" s="261">
        <v>0</v>
      </c>
      <c r="FV28" s="262">
        <v>0</v>
      </c>
      <c r="FW28" s="261">
        <v>0</v>
      </c>
      <c r="FX28" s="261">
        <v>0</v>
      </c>
      <c r="FY28" s="263">
        <v>0</v>
      </c>
      <c r="FZ28" s="261">
        <v>-1283571.9450000001</v>
      </c>
      <c r="GA28" s="261">
        <v>-889269.18700000003</v>
      </c>
      <c r="GB28" s="262">
        <v>0.44340090015960498</v>
      </c>
      <c r="GC28" s="261">
        <v>-11223186.693</v>
      </c>
      <c r="GD28" s="261">
        <v>-9243021.4849999994</v>
      </c>
      <c r="GE28" s="262">
        <v>0.21423353945606499</v>
      </c>
      <c r="GF28" s="261">
        <v>-12207159.943</v>
      </c>
      <c r="GG28" s="261">
        <v>-10865048.249</v>
      </c>
      <c r="GH28" s="262">
        <v>0.12352560828466901</v>
      </c>
      <c r="GI28" s="261">
        <v>0</v>
      </c>
      <c r="GJ28" s="261">
        <v>0</v>
      </c>
      <c r="GK28" s="262">
        <v>0</v>
      </c>
      <c r="GL28" s="261">
        <v>0</v>
      </c>
      <c r="GM28" s="261">
        <v>0</v>
      </c>
      <c r="GN28" s="262">
        <v>0</v>
      </c>
      <c r="GO28" s="261">
        <v>0</v>
      </c>
      <c r="GP28" s="261">
        <v>0</v>
      </c>
      <c r="GQ28" s="262">
        <v>0</v>
      </c>
      <c r="GR28" s="261">
        <v>0</v>
      </c>
      <c r="GS28" s="261">
        <v>0</v>
      </c>
      <c r="GT28" s="262">
        <v>0</v>
      </c>
      <c r="GU28" s="261">
        <v>0</v>
      </c>
      <c r="GV28" s="261">
        <v>0</v>
      </c>
      <c r="GW28" s="262">
        <v>0</v>
      </c>
      <c r="GX28" s="261">
        <v>0</v>
      </c>
      <c r="GY28" s="261">
        <v>0</v>
      </c>
      <c r="GZ28" s="262">
        <v>0</v>
      </c>
      <c r="HA28" s="261">
        <v>0</v>
      </c>
      <c r="HB28" s="261">
        <v>0</v>
      </c>
      <c r="HC28" s="262">
        <v>0</v>
      </c>
      <c r="HD28" s="261">
        <v>0</v>
      </c>
      <c r="HE28" s="261">
        <v>0</v>
      </c>
      <c r="HF28" s="262">
        <v>0</v>
      </c>
      <c r="HG28" s="261">
        <v>0</v>
      </c>
      <c r="HH28" s="261">
        <v>0</v>
      </c>
      <c r="HI28" s="262">
        <v>0</v>
      </c>
      <c r="HJ28" s="261">
        <v>0</v>
      </c>
      <c r="HK28" s="261">
        <v>0</v>
      </c>
      <c r="HL28" s="262">
        <v>0</v>
      </c>
      <c r="HM28" s="261">
        <v>0</v>
      </c>
      <c r="HN28" s="261">
        <v>0</v>
      </c>
      <c r="HO28" s="262">
        <v>0</v>
      </c>
      <c r="HP28" s="261">
        <v>0</v>
      </c>
      <c r="HQ28" s="261">
        <v>0</v>
      </c>
      <c r="HR28" s="263">
        <v>0</v>
      </c>
      <c r="HS28" s="261">
        <v>-1184280.362</v>
      </c>
      <c r="HT28" s="261">
        <v>-389553.408</v>
      </c>
      <c r="HU28" s="262">
        <v>2.0400975519125701</v>
      </c>
      <c r="HV28" s="261">
        <v>-12407467.055</v>
      </c>
      <c r="HW28" s="261">
        <v>-9632574.8929999992</v>
      </c>
      <c r="HX28" s="262">
        <v>0.28807376976809401</v>
      </c>
      <c r="HY28" s="261">
        <v>-13001886.897</v>
      </c>
      <c r="HZ28" s="261">
        <v>-10402558.766000001</v>
      </c>
      <c r="IA28" s="262">
        <v>0.24987391943371801</v>
      </c>
      <c r="IB28" s="261">
        <v>0</v>
      </c>
      <c r="IC28" s="261">
        <v>0</v>
      </c>
      <c r="ID28" s="262">
        <v>0</v>
      </c>
      <c r="IE28" s="261">
        <v>0</v>
      </c>
      <c r="IF28" s="261">
        <v>0</v>
      </c>
      <c r="IG28" s="262">
        <v>0</v>
      </c>
      <c r="IH28" s="261">
        <v>0</v>
      </c>
      <c r="II28" s="261">
        <v>0</v>
      </c>
      <c r="IJ28" s="262">
        <v>0</v>
      </c>
      <c r="IK28" s="261">
        <v>0</v>
      </c>
      <c r="IL28" s="261">
        <v>0</v>
      </c>
      <c r="IM28" s="262">
        <v>0</v>
      </c>
      <c r="IN28" s="261">
        <v>0</v>
      </c>
      <c r="IO28" s="261">
        <v>0</v>
      </c>
      <c r="IP28" s="262">
        <v>0</v>
      </c>
      <c r="IQ28" s="261">
        <v>0</v>
      </c>
      <c r="IR28" s="261">
        <v>0</v>
      </c>
      <c r="IS28" s="262">
        <v>0</v>
      </c>
      <c r="IT28" s="261">
        <v>0</v>
      </c>
      <c r="IU28" s="261">
        <v>0</v>
      </c>
      <c r="IV28" s="262">
        <v>0</v>
      </c>
      <c r="IW28" s="261">
        <v>0</v>
      </c>
      <c r="IX28" s="261">
        <v>0</v>
      </c>
      <c r="IY28" s="262">
        <v>0</v>
      </c>
      <c r="IZ28" s="261">
        <v>0</v>
      </c>
      <c r="JA28" s="261">
        <v>0</v>
      </c>
      <c r="JB28" s="262">
        <v>0</v>
      </c>
      <c r="JC28" s="261">
        <v>0</v>
      </c>
      <c r="JD28" s="261">
        <v>0</v>
      </c>
      <c r="JE28" s="262">
        <v>0</v>
      </c>
      <c r="JF28" s="261">
        <v>0</v>
      </c>
      <c r="JG28" s="261">
        <v>0</v>
      </c>
      <c r="JH28" s="262">
        <v>0</v>
      </c>
      <c r="JI28" s="261">
        <v>0</v>
      </c>
      <c r="JJ28" s="261">
        <v>0</v>
      </c>
      <c r="JK28" s="263">
        <v>0</v>
      </c>
      <c r="JL28" s="261">
        <v>-387090.38199999998</v>
      </c>
      <c r="JM28" s="261">
        <v>-594419.84199999995</v>
      </c>
      <c r="JN28" s="262">
        <v>-0.34879296643667601</v>
      </c>
      <c r="JO28" s="261">
        <v>-12794557.437000001</v>
      </c>
      <c r="JP28" s="261">
        <v>-10226994.734999999</v>
      </c>
      <c r="JQ28" s="262">
        <v>0.25105739941499999</v>
      </c>
      <c r="JR28" s="261">
        <v>-12794557.437000001</v>
      </c>
      <c r="JS28" s="261">
        <v>-10226994.734999999</v>
      </c>
      <c r="JT28" s="262">
        <v>0.25105739941499999</v>
      </c>
      <c r="JU28" s="261">
        <v>0</v>
      </c>
      <c r="JV28" s="261">
        <v>0</v>
      </c>
      <c r="JW28" s="262">
        <v>0</v>
      </c>
      <c r="JX28" s="261">
        <v>0</v>
      </c>
      <c r="JY28" s="261">
        <v>0</v>
      </c>
      <c r="JZ28" s="262">
        <v>0</v>
      </c>
      <c r="KA28" s="261">
        <v>0</v>
      </c>
      <c r="KB28" s="261">
        <v>0</v>
      </c>
      <c r="KC28" s="262">
        <v>0</v>
      </c>
      <c r="KD28" s="261">
        <v>0</v>
      </c>
      <c r="KE28" s="261">
        <v>0</v>
      </c>
      <c r="KF28" s="262">
        <v>0</v>
      </c>
      <c r="KG28" s="261">
        <v>0</v>
      </c>
      <c r="KH28" s="261">
        <v>0</v>
      </c>
      <c r="KI28" s="262">
        <v>0</v>
      </c>
      <c r="KJ28" s="261">
        <v>0</v>
      </c>
      <c r="KK28" s="261">
        <v>0</v>
      </c>
      <c r="KL28" s="262">
        <v>0</v>
      </c>
      <c r="KM28" s="261">
        <v>0</v>
      </c>
      <c r="KN28" s="261">
        <v>0</v>
      </c>
      <c r="KO28" s="262">
        <v>0</v>
      </c>
      <c r="KP28" s="261">
        <v>0</v>
      </c>
      <c r="KQ28" s="261">
        <v>0</v>
      </c>
      <c r="KR28" s="262">
        <v>0</v>
      </c>
      <c r="KS28" s="261">
        <v>0</v>
      </c>
      <c r="KT28" s="261">
        <v>0</v>
      </c>
      <c r="KU28" s="262">
        <v>0</v>
      </c>
      <c r="KV28" s="261">
        <v>0</v>
      </c>
      <c r="KW28" s="261">
        <v>0</v>
      </c>
      <c r="KX28" s="262">
        <v>0</v>
      </c>
      <c r="KY28" s="261">
        <v>0</v>
      </c>
      <c r="KZ28" s="261">
        <v>0</v>
      </c>
      <c r="LA28" s="262">
        <v>0</v>
      </c>
      <c r="LB28" s="261">
        <v>0</v>
      </c>
      <c r="LC28" s="261">
        <v>0</v>
      </c>
      <c r="LD28" s="263">
        <v>0</v>
      </c>
      <c r="LE28" s="261">
        <v>-1066951.74</v>
      </c>
      <c r="LF28" s="261">
        <v>-1098011.8430000001</v>
      </c>
      <c r="LG28" s="262">
        <v>-2.8287584690468701E-2</v>
      </c>
      <c r="LH28" s="261">
        <v>-1066951.74</v>
      </c>
      <c r="LI28" s="261">
        <v>-1098011.8430000001</v>
      </c>
      <c r="LJ28" s="262">
        <v>-2.8287584690468701E-2</v>
      </c>
      <c r="LK28" s="261">
        <v>-12763497.334000001</v>
      </c>
      <c r="LL28" s="261">
        <v>-10835958.765000001</v>
      </c>
      <c r="LM28" s="262">
        <v>0.177883527503438</v>
      </c>
      <c r="LN28" s="261">
        <v>0</v>
      </c>
      <c r="LO28" s="261">
        <v>0</v>
      </c>
      <c r="LP28" s="262">
        <v>0</v>
      </c>
      <c r="LQ28" s="261">
        <v>0</v>
      </c>
      <c r="LR28" s="261">
        <v>0</v>
      </c>
      <c r="LS28" s="262">
        <v>0</v>
      </c>
      <c r="LT28" s="261">
        <v>0</v>
      </c>
      <c r="LU28" s="261">
        <v>0</v>
      </c>
      <c r="LV28" s="262">
        <v>0</v>
      </c>
      <c r="LW28" s="261">
        <v>0</v>
      </c>
      <c r="LX28" s="261">
        <v>0</v>
      </c>
      <c r="LY28" s="262">
        <v>0</v>
      </c>
      <c r="LZ28" s="261">
        <v>0</v>
      </c>
      <c r="MA28" s="261">
        <v>0</v>
      </c>
      <c r="MB28" s="262">
        <v>0</v>
      </c>
      <c r="MC28" s="261">
        <v>0</v>
      </c>
      <c r="MD28" s="261">
        <v>0</v>
      </c>
      <c r="ME28" s="262">
        <v>0</v>
      </c>
      <c r="MF28" s="261">
        <v>0</v>
      </c>
      <c r="MG28" s="261">
        <v>0</v>
      </c>
      <c r="MH28" s="262">
        <v>0</v>
      </c>
      <c r="MI28" s="261">
        <v>0</v>
      </c>
      <c r="MJ28" s="261">
        <v>0</v>
      </c>
      <c r="MK28" s="262">
        <v>0</v>
      </c>
      <c r="ML28" s="261">
        <v>0</v>
      </c>
      <c r="MM28" s="261">
        <v>0</v>
      </c>
      <c r="MN28" s="262">
        <v>0</v>
      </c>
      <c r="MO28" s="261">
        <v>0</v>
      </c>
      <c r="MP28" s="261">
        <v>0</v>
      </c>
      <c r="MQ28" s="262">
        <v>0</v>
      </c>
      <c r="MR28" s="261">
        <v>0</v>
      </c>
      <c r="MS28" s="261">
        <v>0</v>
      </c>
      <c r="MT28" s="262">
        <v>0</v>
      </c>
      <c r="MU28" s="261">
        <v>0</v>
      </c>
      <c r="MV28" s="261">
        <v>0</v>
      </c>
      <c r="MW28" s="263">
        <v>0</v>
      </c>
      <c r="MX28" s="261">
        <v>-723063.82499999995</v>
      </c>
      <c r="MY28" s="261">
        <v>-1182137.9099999999</v>
      </c>
      <c r="MZ28" s="262">
        <v>-0.38834224088118502</v>
      </c>
      <c r="NA28" s="261">
        <v>-1790015.5649999999</v>
      </c>
      <c r="NB28" s="261">
        <v>-2280149.753</v>
      </c>
      <c r="NC28" s="262">
        <v>-0.21495701646575099</v>
      </c>
      <c r="ND28" s="261">
        <v>-12304423.249</v>
      </c>
      <c r="NE28" s="261">
        <v>-10897476.412</v>
      </c>
      <c r="NF28" s="262">
        <v>0.129107582692329</v>
      </c>
      <c r="NG28" s="261">
        <v>0</v>
      </c>
      <c r="NH28" s="261">
        <v>0</v>
      </c>
      <c r="NI28" s="262">
        <v>0</v>
      </c>
      <c r="NJ28" s="261">
        <v>0</v>
      </c>
      <c r="NK28" s="261">
        <v>0</v>
      </c>
      <c r="NL28" s="262">
        <v>0</v>
      </c>
      <c r="NM28" s="261">
        <v>0</v>
      </c>
      <c r="NN28" s="261">
        <v>0</v>
      </c>
      <c r="NO28" s="262">
        <v>0</v>
      </c>
      <c r="NP28" s="261">
        <v>0</v>
      </c>
      <c r="NQ28" s="261">
        <v>0</v>
      </c>
      <c r="NR28" s="262">
        <v>0</v>
      </c>
      <c r="NS28" s="261">
        <v>0</v>
      </c>
      <c r="NT28" s="261">
        <v>0</v>
      </c>
      <c r="NU28" s="262">
        <v>0</v>
      </c>
      <c r="NV28" s="261">
        <v>0</v>
      </c>
      <c r="NW28" s="261">
        <v>0</v>
      </c>
      <c r="NX28" s="262">
        <v>0</v>
      </c>
      <c r="NY28" s="261">
        <v>0</v>
      </c>
      <c r="NZ28" s="261">
        <v>0</v>
      </c>
      <c r="OA28" s="262">
        <v>0</v>
      </c>
      <c r="OB28" s="261">
        <v>0</v>
      </c>
      <c r="OC28" s="261">
        <v>0</v>
      </c>
      <c r="OD28" s="262">
        <v>0</v>
      </c>
      <c r="OE28" s="261">
        <v>0</v>
      </c>
      <c r="OF28" s="261">
        <v>0</v>
      </c>
      <c r="OG28" s="262">
        <v>0</v>
      </c>
      <c r="OH28" s="261">
        <v>0</v>
      </c>
      <c r="OI28" s="261">
        <v>0</v>
      </c>
      <c r="OJ28" s="262">
        <v>0</v>
      </c>
      <c r="OK28" s="261">
        <v>0</v>
      </c>
      <c r="OL28" s="261">
        <v>0</v>
      </c>
      <c r="OM28" s="262">
        <v>0</v>
      </c>
      <c r="ON28" s="261">
        <v>0</v>
      </c>
      <c r="OO28" s="261">
        <v>0</v>
      </c>
      <c r="OP28" s="263">
        <v>0</v>
      </c>
      <c r="OQ28" s="261">
        <v>-1310711.9620000001</v>
      </c>
      <c r="OR28" s="261">
        <v>-1536783.1680000001</v>
      </c>
      <c r="OS28" s="262">
        <v>-0.147106768675905</v>
      </c>
      <c r="OT28" s="261">
        <v>-3100727.5269999998</v>
      </c>
      <c r="OU28" s="261">
        <v>-3816932.9210000001</v>
      </c>
      <c r="OV28" s="262">
        <v>-0.18763897842154401</v>
      </c>
      <c r="OW28" s="261">
        <v>-12078352.043</v>
      </c>
      <c r="OX28" s="261">
        <v>-11601194.012</v>
      </c>
      <c r="OY28" s="262">
        <v>4.1130079413070599E-2</v>
      </c>
      <c r="OZ28" s="261">
        <v>0</v>
      </c>
      <c r="PA28" s="261">
        <v>0</v>
      </c>
      <c r="PB28" s="262">
        <v>0</v>
      </c>
      <c r="PC28" s="261">
        <v>0</v>
      </c>
      <c r="PD28" s="261">
        <v>0</v>
      </c>
      <c r="PE28" s="262">
        <v>0</v>
      </c>
      <c r="PF28" s="261">
        <v>0</v>
      </c>
      <c r="PG28" s="261">
        <v>0</v>
      </c>
      <c r="PH28" s="262">
        <v>0</v>
      </c>
      <c r="PI28" s="261">
        <v>0</v>
      </c>
      <c r="PJ28" s="261">
        <v>0</v>
      </c>
      <c r="PK28" s="262">
        <v>0</v>
      </c>
      <c r="PL28" s="261">
        <v>0</v>
      </c>
      <c r="PM28" s="261">
        <v>0</v>
      </c>
      <c r="PN28" s="262">
        <v>0</v>
      </c>
      <c r="PO28" s="261">
        <v>0</v>
      </c>
      <c r="PP28" s="261">
        <v>0</v>
      </c>
      <c r="PQ28" s="262">
        <v>0</v>
      </c>
      <c r="PR28" s="261">
        <v>0</v>
      </c>
      <c r="PS28" s="261">
        <v>0</v>
      </c>
      <c r="PT28" s="262">
        <v>0</v>
      </c>
      <c r="PU28" s="261">
        <v>0</v>
      </c>
      <c r="PV28" s="261">
        <v>0</v>
      </c>
      <c r="PW28" s="262">
        <v>0</v>
      </c>
      <c r="PX28" s="261">
        <v>0</v>
      </c>
      <c r="PY28" s="261">
        <v>0</v>
      </c>
      <c r="PZ28" s="262">
        <v>0</v>
      </c>
      <c r="QA28" s="261">
        <v>0</v>
      </c>
      <c r="QB28" s="261">
        <v>0</v>
      </c>
      <c r="QC28" s="262">
        <v>0</v>
      </c>
      <c r="QD28" s="261">
        <v>0</v>
      </c>
      <c r="QE28" s="261">
        <v>0</v>
      </c>
      <c r="QF28" s="262">
        <v>0</v>
      </c>
      <c r="QG28" s="261">
        <v>0</v>
      </c>
      <c r="QH28" s="261">
        <v>0</v>
      </c>
      <c r="QI28" s="263">
        <v>0</v>
      </c>
      <c r="QJ28" s="261">
        <v>-1077066.0919999999</v>
      </c>
      <c r="QK28" s="261">
        <v>-1081124.5319999999</v>
      </c>
      <c r="QL28" s="262">
        <v>-3.7539061226296798E-3</v>
      </c>
      <c r="QM28" s="261">
        <v>-4177793.6189999999</v>
      </c>
      <c r="QN28" s="261">
        <v>-4898057.4529999997</v>
      </c>
      <c r="QO28" s="262">
        <v>-0.147050915778631</v>
      </c>
      <c r="QP28" s="261">
        <v>-12074293.603</v>
      </c>
      <c r="QQ28" s="261">
        <v>-11491408.374</v>
      </c>
      <c r="QR28" s="262">
        <v>5.0723567558421598E-2</v>
      </c>
      <c r="QS28" s="261">
        <v>0</v>
      </c>
      <c r="QT28" s="261">
        <v>0</v>
      </c>
      <c r="QU28" s="262">
        <v>0</v>
      </c>
      <c r="QV28" s="261">
        <v>0</v>
      </c>
      <c r="QW28" s="261">
        <v>0</v>
      </c>
      <c r="QX28" s="262">
        <v>0</v>
      </c>
      <c r="QY28" s="261">
        <v>0</v>
      </c>
      <c r="QZ28" s="261">
        <v>0</v>
      </c>
      <c r="RA28" s="262">
        <v>0</v>
      </c>
      <c r="RB28" s="261">
        <v>0</v>
      </c>
      <c r="RC28" s="261">
        <v>0</v>
      </c>
      <c r="RD28" s="262">
        <v>0</v>
      </c>
      <c r="RE28" s="261">
        <v>0</v>
      </c>
      <c r="RF28" s="261">
        <v>0</v>
      </c>
      <c r="RG28" s="262">
        <v>0</v>
      </c>
      <c r="RH28" s="261">
        <v>0</v>
      </c>
      <c r="RI28" s="261">
        <v>0</v>
      </c>
      <c r="RJ28" s="262">
        <v>0</v>
      </c>
      <c r="RK28" s="261">
        <v>0</v>
      </c>
      <c r="RL28" s="261">
        <v>0</v>
      </c>
      <c r="RM28" s="262">
        <v>0</v>
      </c>
      <c r="RN28" s="261">
        <v>0</v>
      </c>
      <c r="RO28" s="261">
        <v>0</v>
      </c>
      <c r="RP28" s="262">
        <v>0</v>
      </c>
      <c r="RQ28" s="261">
        <v>0</v>
      </c>
      <c r="RR28" s="261">
        <v>0</v>
      </c>
      <c r="RS28" s="262">
        <v>0</v>
      </c>
      <c r="RT28" s="261">
        <v>0</v>
      </c>
      <c r="RU28" s="261">
        <v>0</v>
      </c>
      <c r="RV28" s="262">
        <v>0</v>
      </c>
      <c r="RW28" s="261">
        <v>0</v>
      </c>
      <c r="RX28" s="261">
        <v>0</v>
      </c>
      <c r="RY28" s="262">
        <v>0</v>
      </c>
      <c r="RZ28" s="261">
        <v>0</v>
      </c>
      <c r="SA28" s="261">
        <v>0</v>
      </c>
      <c r="SB28" s="263">
        <v>0</v>
      </c>
      <c r="SC28" s="261">
        <v>-1391943.527</v>
      </c>
      <c r="SD28" s="261">
        <v>-1001582.9939999999</v>
      </c>
      <c r="SE28" s="262">
        <v>0.38974357126514902</v>
      </c>
      <c r="SF28" s="261">
        <v>-5569737.1459999997</v>
      </c>
      <c r="SG28" s="261">
        <v>-5899640.4469999997</v>
      </c>
      <c r="SH28" s="262">
        <v>-5.5919221512517402E-2</v>
      </c>
      <c r="SI28" s="261">
        <v>-12464654.136</v>
      </c>
      <c r="SJ28" s="261">
        <v>-11500212.102</v>
      </c>
      <c r="SK28" s="262">
        <v>8.3862977956056503E-2</v>
      </c>
      <c r="SL28" s="261">
        <v>0</v>
      </c>
      <c r="SM28" s="261">
        <v>0</v>
      </c>
      <c r="SN28" s="262">
        <v>0</v>
      </c>
      <c r="SO28" s="261">
        <v>0</v>
      </c>
      <c r="SP28" s="261">
        <v>0</v>
      </c>
      <c r="SQ28" s="262">
        <v>0</v>
      </c>
      <c r="SR28" s="261">
        <v>0</v>
      </c>
      <c r="SS28" s="261">
        <v>0</v>
      </c>
      <c r="ST28" s="262">
        <v>0</v>
      </c>
      <c r="SU28" s="261">
        <v>0</v>
      </c>
      <c r="SV28" s="261">
        <v>0</v>
      </c>
      <c r="SW28" s="262">
        <v>0</v>
      </c>
      <c r="SX28" s="261">
        <v>0</v>
      </c>
      <c r="SY28" s="261">
        <v>0</v>
      </c>
      <c r="SZ28" s="262">
        <v>0</v>
      </c>
      <c r="TA28" s="261">
        <v>0</v>
      </c>
      <c r="TB28" s="261">
        <v>0</v>
      </c>
      <c r="TC28" s="262">
        <v>0</v>
      </c>
      <c r="TD28" s="261">
        <v>0</v>
      </c>
      <c r="TE28" s="261">
        <v>0</v>
      </c>
      <c r="TF28" s="262">
        <v>0</v>
      </c>
      <c r="TG28" s="261">
        <v>0</v>
      </c>
      <c r="TH28" s="261">
        <v>0</v>
      </c>
      <c r="TI28" s="262">
        <v>0</v>
      </c>
      <c r="TJ28" s="261">
        <v>0</v>
      </c>
      <c r="TK28" s="261">
        <v>0</v>
      </c>
      <c r="TL28" s="262">
        <v>0</v>
      </c>
      <c r="TM28" s="261">
        <v>0</v>
      </c>
      <c r="TN28" s="261">
        <v>0</v>
      </c>
      <c r="TO28" s="262">
        <v>0</v>
      </c>
      <c r="TP28" s="261">
        <v>0</v>
      </c>
      <c r="TQ28" s="261">
        <v>0</v>
      </c>
      <c r="TR28" s="262">
        <v>0</v>
      </c>
      <c r="TS28" s="261">
        <v>0</v>
      </c>
      <c r="TT28" s="261">
        <v>0</v>
      </c>
      <c r="TU28" s="263">
        <v>0</v>
      </c>
      <c r="TV28" s="261">
        <v>-1623449.8640000001</v>
      </c>
      <c r="TW28" s="261">
        <v>-1002501.307</v>
      </c>
      <c r="TX28" s="262">
        <v>0.61939924932187695</v>
      </c>
      <c r="TY28" s="261">
        <v>-7193187.0099999998</v>
      </c>
      <c r="TZ28" s="261">
        <v>-6902141.7539999997</v>
      </c>
      <c r="UA28" s="262">
        <v>4.2167383164990899E-2</v>
      </c>
      <c r="UB28" s="261">
        <v>-13085602.693</v>
      </c>
      <c r="UC28" s="261">
        <v>-11269798.177999999</v>
      </c>
      <c r="UD28" s="262">
        <v>0.16112129838710601</v>
      </c>
      <c r="UE28" s="261">
        <v>0</v>
      </c>
      <c r="UF28" s="261">
        <v>0</v>
      </c>
      <c r="UG28" s="262">
        <v>0</v>
      </c>
      <c r="UH28" s="261">
        <v>0</v>
      </c>
      <c r="UI28" s="261">
        <v>0</v>
      </c>
      <c r="UJ28" s="262">
        <v>0</v>
      </c>
      <c r="UK28" s="261">
        <v>0</v>
      </c>
      <c r="UL28" s="261">
        <v>0</v>
      </c>
      <c r="UM28" s="262">
        <v>0</v>
      </c>
      <c r="UN28" s="261">
        <v>0</v>
      </c>
      <c r="UO28" s="261">
        <v>0</v>
      </c>
      <c r="UP28" s="262">
        <v>0</v>
      </c>
      <c r="UQ28" s="261">
        <v>0</v>
      </c>
      <c r="UR28" s="261">
        <v>0</v>
      </c>
      <c r="US28" s="262">
        <v>0</v>
      </c>
      <c r="UT28" s="261">
        <v>0</v>
      </c>
      <c r="UU28" s="261">
        <v>0</v>
      </c>
      <c r="UV28" s="262">
        <v>0</v>
      </c>
      <c r="UW28" s="261">
        <v>0</v>
      </c>
      <c r="UX28" s="261">
        <v>0</v>
      </c>
      <c r="UY28" s="262">
        <v>0</v>
      </c>
      <c r="UZ28" s="261">
        <v>0</v>
      </c>
      <c r="VA28" s="261">
        <v>0</v>
      </c>
      <c r="VB28" s="262">
        <v>0</v>
      </c>
      <c r="VC28" s="261">
        <v>0</v>
      </c>
      <c r="VD28" s="261">
        <v>0</v>
      </c>
      <c r="VE28" s="262">
        <v>0</v>
      </c>
      <c r="VF28" s="261">
        <v>0</v>
      </c>
      <c r="VG28" s="261">
        <v>0</v>
      </c>
      <c r="VH28" s="262">
        <v>0</v>
      </c>
      <c r="VI28" s="261">
        <v>0</v>
      </c>
      <c r="VJ28" s="261">
        <v>0</v>
      </c>
      <c r="VK28" s="262">
        <v>0</v>
      </c>
      <c r="VL28" s="261">
        <v>0</v>
      </c>
      <c r="VM28" s="261">
        <v>0</v>
      </c>
      <c r="VN28" s="263">
        <v>0</v>
      </c>
    </row>
    <row r="29" spans="1:586" ht="21">
      <c r="A29" s="268" t="s">
        <v>117</v>
      </c>
      <c r="B29" s="264">
        <v>20492835.001038</v>
      </c>
      <c r="C29" s="264">
        <v>18372935.849849999</v>
      </c>
      <c r="D29" s="265">
        <v>0.115381622649344</v>
      </c>
      <c r="E29" s="264">
        <v>117924161.29224201</v>
      </c>
      <c r="F29" s="264">
        <v>114645798.152922</v>
      </c>
      <c r="G29" s="265">
        <v>2.8595580406245099E-2</v>
      </c>
      <c r="H29" s="264">
        <v>236906565.15921199</v>
      </c>
      <c r="I29" s="264">
        <v>232293356.01590499</v>
      </c>
      <c r="J29" s="265">
        <v>1.9859410628133001E-2</v>
      </c>
      <c r="K29" s="264">
        <v>16861.954000000002</v>
      </c>
      <c r="L29" s="264">
        <v>15926.096</v>
      </c>
      <c r="M29" s="265">
        <v>5.8762549214823302E-2</v>
      </c>
      <c r="N29" s="264">
        <v>97184.955000000002</v>
      </c>
      <c r="O29" s="264">
        <v>93264.264999999999</v>
      </c>
      <c r="P29" s="265">
        <v>4.2038502099383999E-2</v>
      </c>
      <c r="Q29" s="264">
        <v>200605.649</v>
      </c>
      <c r="R29" s="264">
        <v>188812.56599999999</v>
      </c>
      <c r="S29" s="265">
        <v>6.2459206237364603E-2</v>
      </c>
      <c r="T29" s="264">
        <v>20078.659</v>
      </c>
      <c r="U29" s="264">
        <v>17059.187999999998</v>
      </c>
      <c r="V29" s="265">
        <v>0.176999690723849</v>
      </c>
      <c r="W29" s="264">
        <v>105268.802</v>
      </c>
      <c r="X29" s="264">
        <v>96795.9</v>
      </c>
      <c r="Y29" s="265">
        <v>8.7533686860703799E-2</v>
      </c>
      <c r="Z29" s="264">
        <v>222758.6</v>
      </c>
      <c r="AA29" s="264">
        <v>205872.18400000001</v>
      </c>
      <c r="AB29" s="265">
        <v>8.2023786175989502E-2</v>
      </c>
      <c r="AC29" s="264">
        <v>625996.84699999995</v>
      </c>
      <c r="AD29" s="264">
        <v>541043.63</v>
      </c>
      <c r="AE29" s="265">
        <v>0.15701731300301899</v>
      </c>
      <c r="AF29" s="264">
        <v>2866010.58</v>
      </c>
      <c r="AG29" s="264">
        <v>2745431.8160000001</v>
      </c>
      <c r="AH29" s="265">
        <v>4.3919780960242197E-2</v>
      </c>
      <c r="AI29" s="264">
        <v>6184517.8459999999</v>
      </c>
      <c r="AJ29" s="264">
        <v>6062718.7390000001</v>
      </c>
      <c r="AK29" s="265">
        <v>2.0089849495490499E-2</v>
      </c>
      <c r="AL29" s="264">
        <v>706807.723</v>
      </c>
      <c r="AM29" s="264">
        <v>700510.81299999997</v>
      </c>
      <c r="AN29" s="265">
        <v>8.9890261265674898E-3</v>
      </c>
      <c r="AO29" s="264">
        <v>4287869.2439999999</v>
      </c>
      <c r="AP29" s="264">
        <v>4308539.2230000002</v>
      </c>
      <c r="AQ29" s="265">
        <v>-4.7974447788844696E-3</v>
      </c>
      <c r="AR29" s="264">
        <v>8875858.3959999997</v>
      </c>
      <c r="AS29" s="264">
        <v>8936653.5739999991</v>
      </c>
      <c r="AT29" s="266">
        <v>-6.8029019471982999E-3</v>
      </c>
      <c r="AU29" s="264">
        <v>21968529.572613001</v>
      </c>
      <c r="AV29" s="264">
        <v>21283278.658344001</v>
      </c>
      <c r="AW29" s="265">
        <v>3.2196680091877802E-2</v>
      </c>
      <c r="AX29" s="264">
        <v>139892690.86485499</v>
      </c>
      <c r="AY29" s="264">
        <v>135929076.81126601</v>
      </c>
      <c r="AZ29" s="265">
        <v>2.9159427449745399E-2</v>
      </c>
      <c r="BA29" s="264">
        <v>237591816.07348099</v>
      </c>
      <c r="BB29" s="264">
        <v>232328809.80511501</v>
      </c>
      <c r="BC29" s="265">
        <v>2.2653265743412199E-2</v>
      </c>
      <c r="BD29" s="264">
        <v>19304.875</v>
      </c>
      <c r="BE29" s="264">
        <v>18070.077000000001</v>
      </c>
      <c r="BF29" s="265">
        <v>6.8333853807042405E-2</v>
      </c>
      <c r="BG29" s="264">
        <v>116489.83</v>
      </c>
      <c r="BH29" s="264">
        <v>111334.342</v>
      </c>
      <c r="BI29" s="265">
        <v>4.6306358913047699E-2</v>
      </c>
      <c r="BJ29" s="264">
        <v>201840.44699999999</v>
      </c>
      <c r="BK29" s="264">
        <v>189855.93100000001</v>
      </c>
      <c r="BL29" s="265">
        <v>6.31242644718851E-2</v>
      </c>
      <c r="BM29" s="264">
        <v>23595.451000000001</v>
      </c>
      <c r="BN29" s="264">
        <v>21779.741999999998</v>
      </c>
      <c r="BO29" s="265">
        <v>8.3366873675547001E-2</v>
      </c>
      <c r="BP29" s="264">
        <v>128864.253</v>
      </c>
      <c r="BQ29" s="264">
        <v>118575.64200000001</v>
      </c>
      <c r="BR29" s="265">
        <v>8.6768334764740204E-2</v>
      </c>
      <c r="BS29" s="264">
        <v>224574.30900000001</v>
      </c>
      <c r="BT29" s="264">
        <v>205703.98800000001</v>
      </c>
      <c r="BU29" s="265">
        <v>9.1735319200520193E-2</v>
      </c>
      <c r="BV29" s="264">
        <v>733189.24399999995</v>
      </c>
      <c r="BW29" s="264">
        <v>685337.75600000005</v>
      </c>
      <c r="BX29" s="265">
        <v>6.98217595354544E-2</v>
      </c>
      <c r="BY29" s="264">
        <v>3599199.824</v>
      </c>
      <c r="BZ29" s="264">
        <v>3430769.5720000002</v>
      </c>
      <c r="CA29" s="265">
        <v>4.9094014758272499E-2</v>
      </c>
      <c r="CB29" s="264">
        <v>6232369.3339999998</v>
      </c>
      <c r="CC29" s="264">
        <v>6006454.7240000004</v>
      </c>
      <c r="CD29" s="265">
        <v>3.76119725163854E-2</v>
      </c>
      <c r="CE29" s="264">
        <v>786435.83100000001</v>
      </c>
      <c r="CF29" s="264">
        <v>768229.98100000003</v>
      </c>
      <c r="CG29" s="265">
        <v>2.36984372522165E-2</v>
      </c>
      <c r="CH29" s="264">
        <v>5074305.0750000002</v>
      </c>
      <c r="CI29" s="264">
        <v>5076769.2039999999</v>
      </c>
      <c r="CJ29" s="265">
        <v>-4.8537345326970897E-4</v>
      </c>
      <c r="CK29" s="264">
        <v>8894064.2459999993</v>
      </c>
      <c r="CL29" s="264">
        <v>8933685.8330000006</v>
      </c>
      <c r="CM29" s="266">
        <v>-4.4350772727693001E-3</v>
      </c>
      <c r="CN29" s="264">
        <v>20724837.856991999</v>
      </c>
      <c r="CO29" s="264">
        <v>20890420.749155998</v>
      </c>
      <c r="CP29" s="265">
        <v>-7.9262593201089703E-3</v>
      </c>
      <c r="CQ29" s="264">
        <v>160617528.721847</v>
      </c>
      <c r="CR29" s="264">
        <v>156819497.560422</v>
      </c>
      <c r="CS29" s="265">
        <v>2.4219125941030699E-2</v>
      </c>
      <c r="CT29" s="264">
        <v>237426233.181317</v>
      </c>
      <c r="CU29" s="264">
        <v>232947526.28793499</v>
      </c>
      <c r="CV29" s="265">
        <v>1.92262479226591E-2</v>
      </c>
      <c r="CW29" s="264">
        <v>19179.328000000001</v>
      </c>
      <c r="CX29" s="264">
        <v>19301.285</v>
      </c>
      <c r="CY29" s="265">
        <v>-6.3185948500319297E-3</v>
      </c>
      <c r="CZ29" s="264">
        <v>135669.158</v>
      </c>
      <c r="DA29" s="264">
        <v>130635.62699999999</v>
      </c>
      <c r="DB29" s="265">
        <v>3.8531073916000198E-2</v>
      </c>
      <c r="DC29" s="264">
        <v>201718.49</v>
      </c>
      <c r="DD29" s="264">
        <v>192096.196</v>
      </c>
      <c r="DE29" s="265">
        <v>5.0091017939782399E-2</v>
      </c>
      <c r="DF29" s="264">
        <v>22997.080999999998</v>
      </c>
      <c r="DG29" s="264">
        <v>23962.391</v>
      </c>
      <c r="DH29" s="265">
        <v>-4.0284377297741501E-2</v>
      </c>
      <c r="DI29" s="264">
        <v>151861.334</v>
      </c>
      <c r="DJ29" s="264">
        <v>142538.033</v>
      </c>
      <c r="DK29" s="265">
        <v>6.5409216079192006E-2</v>
      </c>
      <c r="DL29" s="264">
        <v>223608.99900000001</v>
      </c>
      <c r="DM29" s="264">
        <v>207873.07500000001</v>
      </c>
      <c r="DN29" s="265">
        <v>7.5699673947672297E-2</v>
      </c>
      <c r="DO29" s="264">
        <v>730710.29200000002</v>
      </c>
      <c r="DP29" s="264">
        <v>733537.48699999996</v>
      </c>
      <c r="DQ29" s="265">
        <v>-3.8541929350640902E-3</v>
      </c>
      <c r="DR29" s="264">
        <v>4329910.1160000004</v>
      </c>
      <c r="DS29" s="264">
        <v>4164307.0589999999</v>
      </c>
      <c r="DT29" s="265">
        <v>3.9767254108242001E-2</v>
      </c>
      <c r="DU29" s="264">
        <v>6229542.1390000004</v>
      </c>
      <c r="DV29" s="264">
        <v>6032024.8890000004</v>
      </c>
      <c r="DW29" s="265">
        <v>3.27447670781651E-2</v>
      </c>
      <c r="DX29" s="264">
        <v>817844.67200000002</v>
      </c>
      <c r="DY29" s="264">
        <v>790665.451</v>
      </c>
      <c r="DZ29" s="265">
        <v>3.4375121570854997E-2</v>
      </c>
      <c r="EA29" s="264">
        <v>5892149.7470000004</v>
      </c>
      <c r="EB29" s="264">
        <v>5867434.6550000003</v>
      </c>
      <c r="EC29" s="265">
        <v>4.2122483595003497E-3</v>
      </c>
      <c r="ED29" s="264">
        <v>8921243.4670000002</v>
      </c>
      <c r="EE29" s="264">
        <v>8913311.2469999995</v>
      </c>
      <c r="EF29" s="266">
        <v>8.8992965466907299E-4</v>
      </c>
      <c r="EG29" s="264">
        <v>19401295.827528</v>
      </c>
      <c r="EH29" s="264">
        <v>18611148.493471999</v>
      </c>
      <c r="EI29" s="265">
        <v>4.2455592374277998E-2</v>
      </c>
      <c r="EJ29" s="264">
        <v>180018824.549375</v>
      </c>
      <c r="EK29" s="264">
        <v>175430646.05389401</v>
      </c>
      <c r="EL29" s="265">
        <v>2.6153802649004802E-2</v>
      </c>
      <c r="EM29" s="264">
        <v>238216380.51537299</v>
      </c>
      <c r="EN29" s="264">
        <v>233150121.660431</v>
      </c>
      <c r="EO29" s="265">
        <v>2.1729599876943801E-2</v>
      </c>
      <c r="EP29" s="264">
        <v>17860.031999999999</v>
      </c>
      <c r="EQ29" s="264">
        <v>17503.611000000001</v>
      </c>
      <c r="ER29" s="265">
        <v>2.0362712585420401E-2</v>
      </c>
      <c r="ES29" s="264">
        <v>153529.19</v>
      </c>
      <c r="ET29" s="264">
        <v>148139.23800000001</v>
      </c>
      <c r="EU29" s="265">
        <v>3.6384364283013199E-2</v>
      </c>
      <c r="EV29" s="264">
        <v>202074.91099999999</v>
      </c>
      <c r="EW29" s="264">
        <v>193895.03</v>
      </c>
      <c r="EX29" s="265">
        <v>4.2187161785425802E-2</v>
      </c>
      <c r="EY29" s="264">
        <v>20088.042000000001</v>
      </c>
      <c r="EZ29" s="264">
        <v>19613.756000000001</v>
      </c>
      <c r="FA29" s="265">
        <v>2.4181293985710801E-2</v>
      </c>
      <c r="FB29" s="264">
        <v>171949.37599999999</v>
      </c>
      <c r="FC29" s="264">
        <v>162151.78899999999</v>
      </c>
      <c r="FD29" s="265">
        <v>6.0422318251450002E-2</v>
      </c>
      <c r="FE29" s="264">
        <v>224083.285</v>
      </c>
      <c r="FF29" s="264">
        <v>210276.80300000001</v>
      </c>
      <c r="FG29" s="265">
        <v>6.5658607145553799E-2</v>
      </c>
      <c r="FH29" s="264">
        <v>604697.451</v>
      </c>
      <c r="FI29" s="264">
        <v>557428.33100000001</v>
      </c>
      <c r="FJ29" s="265">
        <v>8.47985604090154E-2</v>
      </c>
      <c r="FK29" s="264">
        <v>4934607.5669999998</v>
      </c>
      <c r="FL29" s="264">
        <v>4721735.3899999997</v>
      </c>
      <c r="FM29" s="265">
        <v>4.5083461782046197E-2</v>
      </c>
      <c r="FN29" s="264">
        <v>6276811.2589999996</v>
      </c>
      <c r="FO29" s="264">
        <v>6020272.3760000002</v>
      </c>
      <c r="FP29" s="265">
        <v>4.2612504381479697E-2</v>
      </c>
      <c r="FQ29" s="264">
        <v>782658.17500000005</v>
      </c>
      <c r="FR29" s="264">
        <v>745427.44900000002</v>
      </c>
      <c r="FS29" s="265">
        <v>4.9945472292367801E-2</v>
      </c>
      <c r="FT29" s="264">
        <v>6674807.9220000003</v>
      </c>
      <c r="FU29" s="264">
        <v>6612862.1040000003</v>
      </c>
      <c r="FV29" s="265">
        <v>9.3674746313748298E-3</v>
      </c>
      <c r="FW29" s="264">
        <v>8958474.193</v>
      </c>
      <c r="FX29" s="264">
        <v>8906632.6710000001</v>
      </c>
      <c r="FY29" s="266">
        <v>5.8205523810132996E-3</v>
      </c>
      <c r="FZ29" s="264">
        <v>19140049.992086999</v>
      </c>
      <c r="GA29" s="264">
        <v>19023304.535390001</v>
      </c>
      <c r="GB29" s="265">
        <v>6.1369703922793603E-3</v>
      </c>
      <c r="GC29" s="264">
        <v>199158874.541462</v>
      </c>
      <c r="GD29" s="264">
        <v>194453950.589284</v>
      </c>
      <c r="GE29" s="265">
        <v>2.4195568863064398E-2</v>
      </c>
      <c r="GF29" s="264">
        <v>238333125.97207001</v>
      </c>
      <c r="GG29" s="264">
        <v>233526745.32430801</v>
      </c>
      <c r="GH29" s="265">
        <v>2.05817138464684E-2</v>
      </c>
      <c r="GI29" s="264">
        <v>17791.544000000002</v>
      </c>
      <c r="GJ29" s="264">
        <v>17129.735000000001</v>
      </c>
      <c r="GK29" s="265">
        <v>3.8635098558150602E-2</v>
      </c>
      <c r="GL29" s="264">
        <v>171320.734</v>
      </c>
      <c r="GM29" s="264">
        <v>165268.973</v>
      </c>
      <c r="GN29" s="265">
        <v>3.6617647524197001E-2</v>
      </c>
      <c r="GO29" s="264">
        <v>202736.72</v>
      </c>
      <c r="GP29" s="264">
        <v>195352.07</v>
      </c>
      <c r="GQ29" s="265">
        <v>3.7801749426049101E-2</v>
      </c>
      <c r="GR29" s="264">
        <v>18944.973999999998</v>
      </c>
      <c r="GS29" s="264">
        <v>17934.853999999999</v>
      </c>
      <c r="GT29" s="265">
        <v>5.6321618230067302E-2</v>
      </c>
      <c r="GU29" s="264">
        <v>190894.35</v>
      </c>
      <c r="GV29" s="264">
        <v>180086.64300000001</v>
      </c>
      <c r="GW29" s="265">
        <v>6.0013928961960797E-2</v>
      </c>
      <c r="GX29" s="264">
        <v>225093.405</v>
      </c>
      <c r="GY29" s="264">
        <v>211386.55100000001</v>
      </c>
      <c r="GZ29" s="265">
        <v>6.4842602025329404E-2</v>
      </c>
      <c r="HA29" s="264">
        <v>500550.67099999997</v>
      </c>
      <c r="HB29" s="264">
        <v>504439.05099999998</v>
      </c>
      <c r="HC29" s="265">
        <v>-7.7083247070021199E-3</v>
      </c>
      <c r="HD29" s="264">
        <v>5435158.2379999999</v>
      </c>
      <c r="HE29" s="264">
        <v>5226174.4409999996</v>
      </c>
      <c r="HF29" s="265">
        <v>3.9987910728829699E-2</v>
      </c>
      <c r="HG29" s="264">
        <v>6272922.8789999997</v>
      </c>
      <c r="HH29" s="264">
        <v>6026043.2120000003</v>
      </c>
      <c r="HI29" s="265">
        <v>4.0968784709073301E-2</v>
      </c>
      <c r="HJ29" s="264">
        <v>792830.10499999998</v>
      </c>
      <c r="HK29" s="264">
        <v>778110.82200000004</v>
      </c>
      <c r="HL29" s="265">
        <v>1.8916692306330501E-2</v>
      </c>
      <c r="HM29" s="264">
        <v>7467638.0269999998</v>
      </c>
      <c r="HN29" s="264">
        <v>7390972.926</v>
      </c>
      <c r="HO29" s="265">
        <v>1.0372802304593099E-2</v>
      </c>
      <c r="HP29" s="264">
        <v>8973193.4759999998</v>
      </c>
      <c r="HQ29" s="264">
        <v>8872508.2300000004</v>
      </c>
      <c r="HR29" s="266">
        <v>1.13480025478657E-2</v>
      </c>
      <c r="HS29" s="264">
        <v>19888335.172486998</v>
      </c>
      <c r="HT29" s="264">
        <v>18742665.156711999</v>
      </c>
      <c r="HU29" s="265">
        <v>6.11263129440653E-2</v>
      </c>
      <c r="HV29" s="264">
        <v>219047209.71394899</v>
      </c>
      <c r="HW29" s="264">
        <v>213196615.745996</v>
      </c>
      <c r="HX29" s="265">
        <v>2.7442245963807701E-2</v>
      </c>
      <c r="HY29" s="264">
        <v>239478795.987845</v>
      </c>
      <c r="HZ29" s="264">
        <v>233303179.24015701</v>
      </c>
      <c r="IA29" s="265">
        <v>2.6470349730343401E-2</v>
      </c>
      <c r="IB29" s="264">
        <v>16668.941999999999</v>
      </c>
      <c r="IC29" s="264">
        <v>15819.960999999999</v>
      </c>
      <c r="ID29" s="265">
        <v>5.3665176544998999E-2</v>
      </c>
      <c r="IE29" s="264">
        <v>187989.67600000001</v>
      </c>
      <c r="IF29" s="264">
        <v>181088.93400000001</v>
      </c>
      <c r="IG29" s="265">
        <v>3.8106922646084999E-2</v>
      </c>
      <c r="IH29" s="264">
        <v>203585.701</v>
      </c>
      <c r="II29" s="264">
        <v>196512.89799999999</v>
      </c>
      <c r="IJ29" s="265">
        <v>3.5991545959492298E-2</v>
      </c>
      <c r="IK29" s="264">
        <v>17238.156999999999</v>
      </c>
      <c r="IL29" s="264">
        <v>16562.232</v>
      </c>
      <c r="IM29" s="265">
        <v>4.0811226409580501E-2</v>
      </c>
      <c r="IN29" s="264">
        <v>208132.50700000001</v>
      </c>
      <c r="IO29" s="264">
        <v>196648.875</v>
      </c>
      <c r="IP29" s="265">
        <v>5.8396632068197597E-2</v>
      </c>
      <c r="IQ29" s="264">
        <v>225769.33</v>
      </c>
      <c r="IR29" s="264">
        <v>212734.47200000001</v>
      </c>
      <c r="IS29" s="265">
        <v>6.1272899861758101E-2</v>
      </c>
      <c r="IT29" s="264">
        <v>417470.78200000001</v>
      </c>
      <c r="IU29" s="264">
        <v>385174.299</v>
      </c>
      <c r="IV29" s="265">
        <v>8.3849008316102494E-2</v>
      </c>
      <c r="IW29" s="264">
        <v>5852629.0199999996</v>
      </c>
      <c r="IX29" s="264">
        <v>5611348.7400000002</v>
      </c>
      <c r="IY29" s="265">
        <v>4.2998624961599001E-2</v>
      </c>
      <c r="IZ29" s="264">
        <v>6305219.3619999997</v>
      </c>
      <c r="JA29" s="264">
        <v>6033735.7939999998</v>
      </c>
      <c r="JB29" s="265">
        <v>4.4994275067523799E-2</v>
      </c>
      <c r="JC29" s="264">
        <v>751704.14899999998</v>
      </c>
      <c r="JD29" s="264">
        <v>748333.58100000001</v>
      </c>
      <c r="JE29" s="265">
        <v>4.5040982866168802E-3</v>
      </c>
      <c r="JF29" s="264">
        <v>8219342.176</v>
      </c>
      <c r="JG29" s="264">
        <v>8139306.5070000002</v>
      </c>
      <c r="JH29" s="265">
        <v>9.8332295179163094E-3</v>
      </c>
      <c r="JI29" s="264">
        <v>8976564.0439999998</v>
      </c>
      <c r="JJ29" s="264">
        <v>8881236.4350000005</v>
      </c>
      <c r="JK29" s="266">
        <v>1.07335965771979E-2</v>
      </c>
      <c r="JL29" s="264">
        <v>21472835.873580001</v>
      </c>
      <c r="JM29" s="264">
        <v>20431586.273896001</v>
      </c>
      <c r="JN29" s="265">
        <v>5.09627390514623E-2</v>
      </c>
      <c r="JO29" s="264">
        <v>240520045.587529</v>
      </c>
      <c r="JP29" s="264">
        <v>233628202.01989201</v>
      </c>
      <c r="JQ29" s="265">
        <v>2.9499193624963602E-2</v>
      </c>
      <c r="JR29" s="264">
        <v>240520045.587529</v>
      </c>
      <c r="JS29" s="264">
        <v>233628202.01989201</v>
      </c>
      <c r="JT29" s="265">
        <v>2.9499193624963602E-2</v>
      </c>
      <c r="JU29" s="264">
        <v>18170.256000000001</v>
      </c>
      <c r="JV29" s="264">
        <v>15596.025</v>
      </c>
      <c r="JW29" s="265">
        <v>0.165056865451293</v>
      </c>
      <c r="JX29" s="264">
        <v>206159.932</v>
      </c>
      <c r="JY29" s="264">
        <v>196684.959</v>
      </c>
      <c r="JZ29" s="265">
        <v>4.8173348120635902E-2</v>
      </c>
      <c r="KA29" s="264">
        <v>206159.932</v>
      </c>
      <c r="KB29" s="264">
        <v>196684.959</v>
      </c>
      <c r="KC29" s="265">
        <v>4.8173348120635902E-2</v>
      </c>
      <c r="KD29" s="264">
        <v>19215.312999999998</v>
      </c>
      <c r="KE29" s="264">
        <v>17636.823</v>
      </c>
      <c r="KF29" s="265">
        <v>8.9499679165573207E-2</v>
      </c>
      <c r="KG29" s="264">
        <v>227347.82</v>
      </c>
      <c r="KH29" s="264">
        <v>214285.698</v>
      </c>
      <c r="KI29" s="265">
        <v>6.0956573966032997E-2</v>
      </c>
      <c r="KJ29" s="264">
        <v>227347.82</v>
      </c>
      <c r="KK29" s="264">
        <v>214285.698</v>
      </c>
      <c r="KL29" s="265">
        <v>6.0956573966032997E-2</v>
      </c>
      <c r="KM29" s="264">
        <v>467121.15100000001</v>
      </c>
      <c r="KN29" s="264">
        <v>452590.342</v>
      </c>
      <c r="KO29" s="265">
        <v>3.2105875118298502E-2</v>
      </c>
      <c r="KP29" s="264">
        <v>6319750.1710000001</v>
      </c>
      <c r="KQ29" s="264">
        <v>6063939.0820000004</v>
      </c>
      <c r="KR29" s="265">
        <v>4.2185629759926201E-2</v>
      </c>
      <c r="KS29" s="264">
        <v>6319750.1710000001</v>
      </c>
      <c r="KT29" s="264">
        <v>6063939.0820000004</v>
      </c>
      <c r="KU29" s="265">
        <v>4.2185629759926201E-2</v>
      </c>
      <c r="KV29" s="264">
        <v>764063.45900000003</v>
      </c>
      <c r="KW29" s="264">
        <v>757221.86800000002</v>
      </c>
      <c r="KX29" s="265">
        <v>9.0351207342576796E-3</v>
      </c>
      <c r="KY29" s="264">
        <v>8983405.6349999998</v>
      </c>
      <c r="KZ29" s="264">
        <v>8896528.375</v>
      </c>
      <c r="LA29" s="265">
        <v>9.7652990400314207E-3</v>
      </c>
      <c r="LB29" s="264">
        <v>8983405.6349999998</v>
      </c>
      <c r="LC29" s="264">
        <v>8896528.375</v>
      </c>
      <c r="LD29" s="266">
        <v>9.7652990400314207E-3</v>
      </c>
      <c r="LE29" s="264">
        <v>22808189.663665</v>
      </c>
      <c r="LF29" s="264">
        <v>21687167.320223998</v>
      </c>
      <c r="LG29" s="265">
        <v>5.1690583970162601E-2</v>
      </c>
      <c r="LH29" s="264">
        <v>22808189.663665</v>
      </c>
      <c r="LI29" s="264">
        <v>21687167.320223998</v>
      </c>
      <c r="LJ29" s="265">
        <v>5.1690583970162601E-2</v>
      </c>
      <c r="LK29" s="264">
        <v>241641067.93097001</v>
      </c>
      <c r="LL29" s="264">
        <v>234192614.645273</v>
      </c>
      <c r="LM29" s="265">
        <v>3.1804817145830798E-2</v>
      </c>
      <c r="LN29" s="264">
        <v>19173.944</v>
      </c>
      <c r="LO29" s="264">
        <v>17093.042000000001</v>
      </c>
      <c r="LP29" s="265">
        <v>0.121739711398357</v>
      </c>
      <c r="LQ29" s="264">
        <v>19173.944</v>
      </c>
      <c r="LR29" s="264">
        <v>17093.042000000001</v>
      </c>
      <c r="LS29" s="265">
        <v>0.121739711398357</v>
      </c>
      <c r="LT29" s="264">
        <v>208240.834</v>
      </c>
      <c r="LU29" s="264">
        <v>197829.24900000001</v>
      </c>
      <c r="LV29" s="265">
        <v>5.2629148887887597E-2</v>
      </c>
      <c r="LW29" s="264">
        <v>19617.88</v>
      </c>
      <c r="LX29" s="264">
        <v>18605.823</v>
      </c>
      <c r="LY29" s="265">
        <v>5.4394637635755097E-2</v>
      </c>
      <c r="LZ29" s="264">
        <v>19617.88</v>
      </c>
      <c r="MA29" s="264">
        <v>18605.823</v>
      </c>
      <c r="MB29" s="265">
        <v>5.4394637635755097E-2</v>
      </c>
      <c r="MC29" s="264">
        <v>228359.87700000001</v>
      </c>
      <c r="MD29" s="264">
        <v>216341.99900000001</v>
      </c>
      <c r="ME29" s="265">
        <v>5.5550369579417801E-2</v>
      </c>
      <c r="MF29" s="264">
        <v>501090.57</v>
      </c>
      <c r="MG29" s="264">
        <v>458813.94199999998</v>
      </c>
      <c r="MH29" s="265">
        <v>9.2143294111145302E-2</v>
      </c>
      <c r="MI29" s="264">
        <v>501090.57</v>
      </c>
      <c r="MJ29" s="264">
        <v>458813.94199999998</v>
      </c>
      <c r="MK29" s="265">
        <v>9.2143294111145302E-2</v>
      </c>
      <c r="ML29" s="264">
        <v>6362026.7989999996</v>
      </c>
      <c r="MM29" s="264">
        <v>6073437.9639999997</v>
      </c>
      <c r="MN29" s="265">
        <v>4.7516552685743403E-2</v>
      </c>
      <c r="MO29" s="264">
        <v>769935.26399999997</v>
      </c>
      <c r="MP29" s="264">
        <v>756722.51199999999</v>
      </c>
      <c r="MQ29" s="265">
        <v>1.7460498122461001E-2</v>
      </c>
      <c r="MR29" s="264">
        <v>769935.26399999997</v>
      </c>
      <c r="MS29" s="264">
        <v>756722.51199999999</v>
      </c>
      <c r="MT29" s="265">
        <v>1.7460498122461001E-2</v>
      </c>
      <c r="MU29" s="264">
        <v>8996618.3870000001</v>
      </c>
      <c r="MV29" s="264">
        <v>8904247.1860000007</v>
      </c>
      <c r="MW29" s="266">
        <v>1.0373836111067699E-2</v>
      </c>
      <c r="MX29" s="264">
        <v>19471838.260722</v>
      </c>
      <c r="MY29" s="264">
        <v>19135185.415920001</v>
      </c>
      <c r="MZ29" s="265">
        <v>1.7593393399884201E-2</v>
      </c>
      <c r="NA29" s="264">
        <v>42280027.924387001</v>
      </c>
      <c r="NB29" s="264">
        <v>40822352.736143999</v>
      </c>
      <c r="NC29" s="265">
        <v>3.57077701440855E-2</v>
      </c>
      <c r="ND29" s="264">
        <v>241977720.77577201</v>
      </c>
      <c r="NE29" s="264">
        <v>234129964.74932101</v>
      </c>
      <c r="NF29" s="265">
        <v>3.3518802408967402E-2</v>
      </c>
      <c r="NG29" s="264">
        <v>15355.087</v>
      </c>
      <c r="NH29" s="264">
        <v>15508.661</v>
      </c>
      <c r="NI29" s="265">
        <v>-9.9024667571236801E-3</v>
      </c>
      <c r="NJ29" s="264">
        <v>34529.031000000003</v>
      </c>
      <c r="NK29" s="264">
        <v>32601.703000000001</v>
      </c>
      <c r="NL29" s="265">
        <v>5.9117402547959101E-2</v>
      </c>
      <c r="NM29" s="264">
        <v>208087.26</v>
      </c>
      <c r="NN29" s="264">
        <v>198679.424</v>
      </c>
      <c r="NO29" s="265">
        <v>4.73518385074439E-2</v>
      </c>
      <c r="NP29" s="264">
        <v>16862.589</v>
      </c>
      <c r="NQ29" s="264">
        <v>16301.544</v>
      </c>
      <c r="NR29" s="265">
        <v>3.4416678567379802E-2</v>
      </c>
      <c r="NS29" s="264">
        <v>36480.468999999997</v>
      </c>
      <c r="NT29" s="264">
        <v>34907.366999999998</v>
      </c>
      <c r="NU29" s="265">
        <v>4.5065043146909498E-2</v>
      </c>
      <c r="NV29" s="264">
        <v>228920.92199999999</v>
      </c>
      <c r="NW29" s="264">
        <v>217613.959</v>
      </c>
      <c r="NX29" s="265">
        <v>5.1958812991403799E-2</v>
      </c>
      <c r="NY29" s="264">
        <v>400605.614</v>
      </c>
      <c r="NZ29" s="264">
        <v>420396.77600000001</v>
      </c>
      <c r="OA29" s="265">
        <v>-4.7077340098345299E-2</v>
      </c>
      <c r="OB29" s="264">
        <v>901696.18400000001</v>
      </c>
      <c r="OC29" s="264">
        <v>879210.71799999999</v>
      </c>
      <c r="OD29" s="265">
        <v>2.5574604062094702E-2</v>
      </c>
      <c r="OE29" s="264">
        <v>6342235.6370000001</v>
      </c>
      <c r="OF29" s="264">
        <v>6083747.1880000001</v>
      </c>
      <c r="OG29" s="265">
        <v>4.2488361368773098E-2</v>
      </c>
      <c r="OH29" s="264">
        <v>678429.34299999999</v>
      </c>
      <c r="OI29" s="264">
        <v>676886.31099999999</v>
      </c>
      <c r="OJ29" s="265">
        <v>2.2796029036551298E-3</v>
      </c>
      <c r="OK29" s="264">
        <v>1448364.6070000001</v>
      </c>
      <c r="OL29" s="264">
        <v>1433608.8230000001</v>
      </c>
      <c r="OM29" s="265">
        <v>1.0292754734252899E-2</v>
      </c>
      <c r="ON29" s="264">
        <v>8998161.4189999998</v>
      </c>
      <c r="OO29" s="264">
        <v>8883220.0099999998</v>
      </c>
      <c r="OP29" s="266">
        <v>1.29391604475191E-2</v>
      </c>
      <c r="OQ29" s="264">
        <v>20203330.640275002</v>
      </c>
      <c r="OR29" s="264">
        <v>20651727.257614002</v>
      </c>
      <c r="OS29" s="265">
        <v>-2.1712305791453002E-2</v>
      </c>
      <c r="OT29" s="264">
        <v>62483358.564662002</v>
      </c>
      <c r="OU29" s="264">
        <v>61474079.993758</v>
      </c>
      <c r="OV29" s="265">
        <v>1.6417953241536901E-2</v>
      </c>
      <c r="OW29" s="264">
        <v>241529324.15843299</v>
      </c>
      <c r="OX29" s="264">
        <v>235261461.152585</v>
      </c>
      <c r="OY29" s="265">
        <v>2.6642115436759699E-2</v>
      </c>
      <c r="OZ29" s="264">
        <v>15696.001</v>
      </c>
      <c r="PA29" s="264">
        <v>16984.402999999998</v>
      </c>
      <c r="PB29" s="265">
        <v>-7.5857950379533703E-2</v>
      </c>
      <c r="PC29" s="264">
        <v>50225.031999999999</v>
      </c>
      <c r="PD29" s="264">
        <v>49586.106</v>
      </c>
      <c r="PE29" s="265">
        <v>1.2885181990293801E-2</v>
      </c>
      <c r="PF29" s="264">
        <v>206798.85800000001</v>
      </c>
      <c r="PG29" s="264">
        <v>200315.06</v>
      </c>
      <c r="PH29" s="265">
        <v>3.2368000688515398E-2</v>
      </c>
      <c r="PI29" s="264">
        <v>17909.438999999998</v>
      </c>
      <c r="PJ29" s="264">
        <v>17234.951000000001</v>
      </c>
      <c r="PK29" s="265">
        <v>3.9134895132570902E-2</v>
      </c>
      <c r="PL29" s="264">
        <v>54389.908000000003</v>
      </c>
      <c r="PM29" s="264">
        <v>52142.317999999999</v>
      </c>
      <c r="PN29" s="265">
        <v>4.3104911446399198E-2</v>
      </c>
      <c r="PO29" s="264">
        <v>229595.41</v>
      </c>
      <c r="PP29" s="264">
        <v>219346.86900000001</v>
      </c>
      <c r="PQ29" s="265">
        <v>4.6722987415881399E-2</v>
      </c>
      <c r="PR29" s="264">
        <v>465727.67099999997</v>
      </c>
      <c r="PS29" s="264">
        <v>454444.17300000001</v>
      </c>
      <c r="PT29" s="265">
        <v>2.4829228033693199E-2</v>
      </c>
      <c r="PU29" s="264">
        <v>1367423.855</v>
      </c>
      <c r="PV29" s="264">
        <v>1333654.8910000001</v>
      </c>
      <c r="PW29" s="265">
        <v>2.53206164712368E-2</v>
      </c>
      <c r="PX29" s="264">
        <v>6353519.1349999998</v>
      </c>
      <c r="PY29" s="264">
        <v>6106844.8559999997</v>
      </c>
      <c r="PZ29" s="265">
        <v>4.03930810126348E-2</v>
      </c>
      <c r="QA29" s="264">
        <v>748210.41700000002</v>
      </c>
      <c r="QB29" s="264">
        <v>737382.16799999995</v>
      </c>
      <c r="QC29" s="265">
        <v>1.46847177351328E-2</v>
      </c>
      <c r="QD29" s="264">
        <v>2196575.0240000002</v>
      </c>
      <c r="QE29" s="264">
        <v>2170990.9909999999</v>
      </c>
      <c r="QF29" s="265">
        <v>1.17844952402201E-2</v>
      </c>
      <c r="QG29" s="264">
        <v>9008989.6679999996</v>
      </c>
      <c r="QH29" s="264">
        <v>8888384.3100000005</v>
      </c>
      <c r="QI29" s="266">
        <v>1.3568873013773099E-2</v>
      </c>
      <c r="QJ29" s="264">
        <v>17801524.827615</v>
      </c>
      <c r="QK29" s="264">
        <v>17627145.771015</v>
      </c>
      <c r="QL29" s="265">
        <v>9.8926427945437798E-3</v>
      </c>
      <c r="QM29" s="264">
        <v>80284883.392277002</v>
      </c>
      <c r="QN29" s="264">
        <v>79101225.764772996</v>
      </c>
      <c r="QO29" s="265">
        <v>1.4963834201809601E-2</v>
      </c>
      <c r="QP29" s="264">
        <v>241703703.21503299</v>
      </c>
      <c r="QQ29" s="264">
        <v>234769383.417943</v>
      </c>
      <c r="QR29" s="265">
        <v>2.9536729603047901E-2</v>
      </c>
      <c r="QS29" s="264">
        <v>14359.009</v>
      </c>
      <c r="QT29" s="264">
        <v>14961.291999999999</v>
      </c>
      <c r="QU29" s="265">
        <v>-4.0256082161888099E-2</v>
      </c>
      <c r="QV29" s="264">
        <v>64584.040999999997</v>
      </c>
      <c r="QW29" s="264">
        <v>64547.398000000001</v>
      </c>
      <c r="QX29" s="265">
        <v>5.6769135759734903E-4</v>
      </c>
      <c r="QY29" s="264">
        <v>206196.57500000001</v>
      </c>
      <c r="QZ29" s="264">
        <v>199845.484</v>
      </c>
      <c r="RA29" s="265">
        <v>3.1780007598270203E-2</v>
      </c>
      <c r="RB29" s="264">
        <v>16760.776000000002</v>
      </c>
      <c r="RC29" s="264">
        <v>15892.477999999999</v>
      </c>
      <c r="RD29" s="265">
        <v>5.4635784299969001E-2</v>
      </c>
      <c r="RE29" s="264">
        <v>71150.683999999994</v>
      </c>
      <c r="RF29" s="264">
        <v>68034.796000000002</v>
      </c>
      <c r="RG29" s="265">
        <v>4.5798447018199198E-2</v>
      </c>
      <c r="RH29" s="264">
        <v>230463.70800000001</v>
      </c>
      <c r="RI29" s="264">
        <v>219300.84700000001</v>
      </c>
      <c r="RJ29" s="265">
        <v>5.0902042343685103E-2</v>
      </c>
      <c r="RK29" s="264">
        <v>440563.37199999997</v>
      </c>
      <c r="RL29" s="264">
        <v>428474.41899999999</v>
      </c>
      <c r="RM29" s="265">
        <v>2.82139433859642E-2</v>
      </c>
      <c r="RN29" s="264">
        <v>1807987.227</v>
      </c>
      <c r="RO29" s="264">
        <v>1762129.31</v>
      </c>
      <c r="RP29" s="265">
        <v>2.6024149725992499E-2</v>
      </c>
      <c r="RQ29" s="264">
        <v>6365608.0880000005</v>
      </c>
      <c r="RR29" s="264">
        <v>6101355.7489999998</v>
      </c>
      <c r="RS29" s="265">
        <v>4.3310429660376903E-2</v>
      </c>
      <c r="RT29" s="264">
        <v>704518.99100000004</v>
      </c>
      <c r="RU29" s="264">
        <v>697356.80700000003</v>
      </c>
      <c r="RV29" s="265">
        <v>1.0270472630519599E-2</v>
      </c>
      <c r="RW29" s="264">
        <v>2901094.0150000001</v>
      </c>
      <c r="RX29" s="264">
        <v>2868347.798</v>
      </c>
      <c r="RY29" s="265">
        <v>1.14164039043076E-2</v>
      </c>
      <c r="RZ29" s="264">
        <v>9016151.852</v>
      </c>
      <c r="SA29" s="264">
        <v>8872990.4820000008</v>
      </c>
      <c r="SB29" s="266">
        <v>1.61345118413482E-2</v>
      </c>
      <c r="SC29" s="264">
        <v>18847707.416239999</v>
      </c>
      <c r="SD29" s="264">
        <v>18330100.526431002</v>
      </c>
      <c r="SE29" s="265">
        <v>2.8238082440553602E-2</v>
      </c>
      <c r="SF29" s="264">
        <v>99132590.808516994</v>
      </c>
      <c r="SG29" s="264">
        <v>97431326.291204005</v>
      </c>
      <c r="SH29" s="265">
        <v>1.7461165541647498E-2</v>
      </c>
      <c r="SI29" s="264">
        <v>242221310.10484201</v>
      </c>
      <c r="SJ29" s="264">
        <v>234786666.00802401</v>
      </c>
      <c r="SK29" s="265">
        <v>3.1665529492053403E-2</v>
      </c>
      <c r="SL29" s="264">
        <v>14876.409</v>
      </c>
      <c r="SM29" s="264">
        <v>15775.602999999999</v>
      </c>
      <c r="SN29" s="265">
        <v>-5.6999025647387402E-2</v>
      </c>
      <c r="SO29" s="264">
        <v>79460.45</v>
      </c>
      <c r="SP29" s="264">
        <v>80323.001000000004</v>
      </c>
      <c r="SQ29" s="265">
        <v>-1.07385305486782E-2</v>
      </c>
      <c r="SR29" s="264">
        <v>205297.38099999999</v>
      </c>
      <c r="SS29" s="264">
        <v>199669.791</v>
      </c>
      <c r="ST29" s="265">
        <v>2.8184483851139999E-2</v>
      </c>
      <c r="SU29" s="264">
        <v>16901.973999999998</v>
      </c>
      <c r="SV29" s="264">
        <v>17155.347000000002</v>
      </c>
      <c r="SW29" s="265">
        <v>-1.4769331101259499E-2</v>
      </c>
      <c r="SX29" s="264">
        <v>88052.657999999996</v>
      </c>
      <c r="SY29" s="264">
        <v>85190.142999999996</v>
      </c>
      <c r="SZ29" s="265">
        <v>3.36014813356987E-2</v>
      </c>
      <c r="TA29" s="264">
        <v>230210.33499999999</v>
      </c>
      <c r="TB29" s="264">
        <v>219739.12899999999</v>
      </c>
      <c r="TC29" s="265">
        <v>4.7652896630895503E-2</v>
      </c>
      <c r="TD29" s="264">
        <v>495226.54399999999</v>
      </c>
      <c r="TE29" s="264">
        <v>477884.42300000001</v>
      </c>
      <c r="TF29" s="265">
        <v>3.6289362375806197E-2</v>
      </c>
      <c r="TG29" s="264">
        <v>2303213.7710000002</v>
      </c>
      <c r="TH29" s="264">
        <v>2240013.733</v>
      </c>
      <c r="TI29" s="265">
        <v>2.8214129703284199E-2</v>
      </c>
      <c r="TJ29" s="264">
        <v>6382950.2089999998</v>
      </c>
      <c r="TK29" s="264">
        <v>6099564.6289999997</v>
      </c>
      <c r="TL29" s="265">
        <v>4.64599684135917E-2</v>
      </c>
      <c r="TM29" s="264">
        <v>715218.53200000001</v>
      </c>
      <c r="TN29" s="264">
        <v>712713.723</v>
      </c>
      <c r="TO29" s="265">
        <v>3.5144671965298001E-3</v>
      </c>
      <c r="TP29" s="264">
        <v>3616312.5469999998</v>
      </c>
      <c r="TQ29" s="264">
        <v>3581061.5210000002</v>
      </c>
      <c r="TR29" s="265">
        <v>9.84373649915859E-3</v>
      </c>
      <c r="TS29" s="264">
        <v>9018656.6610000003</v>
      </c>
      <c r="TT29" s="264">
        <v>8869561.4859999996</v>
      </c>
      <c r="TU29" s="266">
        <v>1.6809757194348001E-2</v>
      </c>
      <c r="TV29" s="264">
        <v>20848684.767597999</v>
      </c>
      <c r="TW29" s="264">
        <v>20492835.001038</v>
      </c>
      <c r="TX29" s="265">
        <v>1.7364594334652601E-2</v>
      </c>
      <c r="TY29" s="264">
        <v>119981275.576115</v>
      </c>
      <c r="TZ29" s="264">
        <v>117924161.29224201</v>
      </c>
      <c r="UA29" s="265">
        <v>1.7444383418381899E-2</v>
      </c>
      <c r="UB29" s="264">
        <v>242577159.871402</v>
      </c>
      <c r="UC29" s="264">
        <v>236906565.15921199</v>
      </c>
      <c r="UD29" s="265">
        <v>2.3935996490342899E-2</v>
      </c>
      <c r="UE29" s="264">
        <v>16643.682000000001</v>
      </c>
      <c r="UF29" s="264">
        <v>16861.954000000002</v>
      </c>
      <c r="UG29" s="265">
        <v>-1.2944644493752299E-2</v>
      </c>
      <c r="UH29" s="264">
        <v>96104.131999999998</v>
      </c>
      <c r="UI29" s="264">
        <v>97184.955000000002</v>
      </c>
      <c r="UJ29" s="265">
        <v>-1.11212995879867E-2</v>
      </c>
      <c r="UK29" s="264">
        <v>205079.109</v>
      </c>
      <c r="UL29" s="264">
        <v>200605.649</v>
      </c>
      <c r="UM29" s="265">
        <v>2.22997708304816E-2</v>
      </c>
      <c r="UN29" s="264">
        <v>20060.654999999999</v>
      </c>
      <c r="UO29" s="264">
        <v>20078.659</v>
      </c>
      <c r="UP29" s="265">
        <v>-8.9667342824044198E-4</v>
      </c>
      <c r="UQ29" s="264">
        <v>108113.31299999999</v>
      </c>
      <c r="UR29" s="264">
        <v>105268.802</v>
      </c>
      <c r="US29" s="265">
        <v>2.7021405639250901E-2</v>
      </c>
      <c r="UT29" s="264">
        <v>230192.33100000001</v>
      </c>
      <c r="UU29" s="264">
        <v>222758.6</v>
      </c>
      <c r="UV29" s="265">
        <v>3.3371241334790198E-2</v>
      </c>
      <c r="UW29" s="264">
        <v>618957.78399999999</v>
      </c>
      <c r="UX29" s="264">
        <v>625996.84699999995</v>
      </c>
      <c r="UY29" s="265">
        <v>-1.12445662206346E-2</v>
      </c>
      <c r="UZ29" s="264">
        <v>2922171.5550000002</v>
      </c>
      <c r="VA29" s="264">
        <v>2866010.58</v>
      </c>
      <c r="VB29" s="265">
        <v>1.9595522567819702E-2</v>
      </c>
      <c r="VC29" s="264">
        <v>6375911.1459999997</v>
      </c>
      <c r="VD29" s="264">
        <v>6184517.8459999999</v>
      </c>
      <c r="VE29" s="265">
        <v>3.09471659336851E-2</v>
      </c>
      <c r="VF29" s="264">
        <v>719807.58400000003</v>
      </c>
      <c r="VG29" s="264">
        <v>706807.723</v>
      </c>
      <c r="VH29" s="265">
        <v>1.8392358454747699E-2</v>
      </c>
      <c r="VI29" s="264">
        <v>4336120.1310000001</v>
      </c>
      <c r="VJ29" s="264">
        <v>4287869.2439999999</v>
      </c>
      <c r="VK29" s="265">
        <v>1.12528820853197E-2</v>
      </c>
      <c r="VL29" s="264">
        <v>9031656.5219999999</v>
      </c>
      <c r="VM29" s="264">
        <v>8875858.3959999997</v>
      </c>
      <c r="VN29" s="266">
        <v>1.7553020682508198E-2</v>
      </c>
    </row>
    <row r="31" spans="1:586">
      <c r="C31" s="215" t="str">
        <f t="shared" ref="C31:O31" si="0">MID(UPPER(TEXT(C32,"mmm")),1,1)</f>
        <v>J</v>
      </c>
      <c r="D31" s="215" t="str">
        <f t="shared" si="0"/>
        <v>J</v>
      </c>
      <c r="E31" s="215" t="str">
        <f t="shared" si="0"/>
        <v>A</v>
      </c>
      <c r="F31" s="215" t="str">
        <f t="shared" si="0"/>
        <v>S</v>
      </c>
      <c r="G31" s="215" t="str">
        <f t="shared" si="0"/>
        <v>O</v>
      </c>
      <c r="H31" s="215" t="str">
        <f t="shared" si="0"/>
        <v>N</v>
      </c>
      <c r="I31" s="215" t="str">
        <f t="shared" si="0"/>
        <v>D</v>
      </c>
      <c r="J31" s="215" t="str">
        <f t="shared" si="0"/>
        <v>E</v>
      </c>
      <c r="K31" s="215" t="str">
        <f t="shared" si="0"/>
        <v>F</v>
      </c>
      <c r="L31" s="215" t="str">
        <f t="shared" si="0"/>
        <v>M</v>
      </c>
      <c r="M31" s="215" t="str">
        <f t="shared" si="0"/>
        <v>A</v>
      </c>
      <c r="N31" s="215" t="str">
        <f t="shared" si="0"/>
        <v>M</v>
      </c>
      <c r="O31" s="215" t="str">
        <f t="shared" si="0"/>
        <v>J</v>
      </c>
    </row>
    <row r="32" spans="1:586">
      <c r="A32" s="216"/>
      <c r="B32" s="216" t="s">
        <v>28</v>
      </c>
      <c r="C32" s="217" t="s">
        <v>217</v>
      </c>
      <c r="D32" s="217" t="s">
        <v>218</v>
      </c>
      <c r="E32" s="217" t="s">
        <v>231</v>
      </c>
      <c r="F32" s="217" t="s">
        <v>233</v>
      </c>
      <c r="G32" s="217" t="s">
        <v>235</v>
      </c>
      <c r="H32" s="217" t="s">
        <v>236</v>
      </c>
      <c r="I32" s="217" t="s">
        <v>269</v>
      </c>
      <c r="J32" s="217" t="s">
        <v>273</v>
      </c>
      <c r="K32" s="217" t="s">
        <v>277</v>
      </c>
      <c r="L32" s="217" t="s">
        <v>279</v>
      </c>
      <c r="M32" s="217" t="s">
        <v>281</v>
      </c>
      <c r="N32" s="217" t="s">
        <v>283</v>
      </c>
      <c r="O32" s="217" t="s">
        <v>287</v>
      </c>
    </row>
    <row r="33" spans="1:15">
      <c r="A33" s="216"/>
      <c r="B33" s="216" t="s">
        <v>101</v>
      </c>
      <c r="C33" s="217" t="s">
        <v>159</v>
      </c>
      <c r="D33" s="217" t="s">
        <v>159</v>
      </c>
      <c r="E33" s="217" t="s">
        <v>159</v>
      </c>
      <c r="F33" s="217" t="s">
        <v>159</v>
      </c>
      <c r="G33" s="217" t="s">
        <v>159</v>
      </c>
      <c r="H33" s="217" t="s">
        <v>159</v>
      </c>
      <c r="I33" s="217" t="s">
        <v>159</v>
      </c>
      <c r="J33" s="217" t="s">
        <v>159</v>
      </c>
      <c r="K33" s="217" t="s">
        <v>159</v>
      </c>
      <c r="L33" s="217" t="s">
        <v>159</v>
      </c>
      <c r="M33" s="217" t="s">
        <v>159</v>
      </c>
      <c r="N33" s="217" t="s">
        <v>159</v>
      </c>
      <c r="O33" s="217" t="s">
        <v>159</v>
      </c>
    </row>
    <row r="34" spans="1:15">
      <c r="A34" s="216" t="s">
        <v>154</v>
      </c>
      <c r="B34" s="216" t="s">
        <v>155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1:15">
      <c r="A35" s="343" t="s">
        <v>4</v>
      </c>
      <c r="B35" s="219" t="s">
        <v>145</v>
      </c>
      <c r="C35" s="317">
        <v>1617.5318400000001</v>
      </c>
      <c r="D35" s="317">
        <v>10500.46176</v>
      </c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</row>
    <row r="36" spans="1:15">
      <c r="A36" s="344"/>
      <c r="B36" s="219" t="s">
        <v>146</v>
      </c>
      <c r="C36" s="317">
        <v>146358.57983999999</v>
      </c>
      <c r="D36" s="317">
        <v>91200.833280000006</v>
      </c>
      <c r="E36" s="317">
        <v>0.1056</v>
      </c>
      <c r="F36" s="317">
        <v>6949.3612800000001</v>
      </c>
      <c r="G36" s="317">
        <v>20139.99264</v>
      </c>
      <c r="H36" s="317">
        <v>5173.2297600000002</v>
      </c>
      <c r="I36" s="317">
        <v>44880.096960000003</v>
      </c>
      <c r="J36" s="317">
        <v>19381.016640000002</v>
      </c>
      <c r="K36" s="317">
        <v>9.9839999999999998E-2</v>
      </c>
      <c r="L36" s="317">
        <v>12773.805120000001</v>
      </c>
      <c r="M36" s="317">
        <v>0.10176</v>
      </c>
      <c r="N36" s="317">
        <v>78006.887040000001</v>
      </c>
      <c r="O36" s="317">
        <v>12551.687040000001</v>
      </c>
    </row>
    <row r="37" spans="1:15">
      <c r="A37" s="219" t="s">
        <v>135</v>
      </c>
      <c r="B37" s="219" t="s">
        <v>225</v>
      </c>
      <c r="C37" s="317"/>
      <c r="D37" s="317">
        <v>60825.505440000001</v>
      </c>
      <c r="E37" s="317">
        <v>91988.79032</v>
      </c>
      <c r="F37" s="317">
        <v>103633.34071999999</v>
      </c>
      <c r="G37" s="317">
        <v>117125.66656</v>
      </c>
      <c r="H37" s="317">
        <v>120115.81568</v>
      </c>
      <c r="I37" s="317">
        <v>135268.42112000001</v>
      </c>
      <c r="J37" s="317">
        <v>104514.64408</v>
      </c>
      <c r="K37" s="317">
        <v>117182.0384</v>
      </c>
      <c r="L37" s="317">
        <v>116826.45183999999</v>
      </c>
      <c r="M37" s="317">
        <v>115506.5184</v>
      </c>
      <c r="N37" s="317">
        <v>144004.86016000001</v>
      </c>
      <c r="O37" s="317">
        <v>117119.04512</v>
      </c>
    </row>
    <row r="38" spans="1:15">
      <c r="A38" s="219" t="s">
        <v>219</v>
      </c>
      <c r="B38" s="219" t="s">
        <v>234</v>
      </c>
      <c r="C38" s="317"/>
      <c r="D38" s="317"/>
      <c r="E38" s="317"/>
      <c r="F38" s="317">
        <v>7.6999999999999996E-4</v>
      </c>
      <c r="G38" s="317"/>
      <c r="H38" s="317"/>
      <c r="I38" s="317"/>
      <c r="J38" s="317"/>
      <c r="K38" s="317"/>
      <c r="L38" s="317"/>
      <c r="M38" s="317"/>
      <c r="N38" s="317"/>
      <c r="O38" s="317"/>
    </row>
    <row r="39" spans="1:15">
      <c r="A39" s="219" t="s">
        <v>11</v>
      </c>
      <c r="B39" s="219" t="s">
        <v>147</v>
      </c>
      <c r="C39" s="317">
        <v>1472981.12405</v>
      </c>
      <c r="D39" s="317">
        <v>1324084.3846499999</v>
      </c>
      <c r="E39" s="317">
        <v>1309188.13433</v>
      </c>
      <c r="F39" s="317">
        <v>1166084.58742</v>
      </c>
      <c r="G39" s="317">
        <v>1695150.15707</v>
      </c>
      <c r="H39" s="317">
        <v>1327736.7020099999</v>
      </c>
      <c r="I39" s="317">
        <v>1592012.0702500001</v>
      </c>
      <c r="J39" s="317">
        <v>1299365.3758100001</v>
      </c>
      <c r="K39" s="317">
        <v>833892.69073000003</v>
      </c>
      <c r="L39" s="317">
        <v>1030426.8187600001</v>
      </c>
      <c r="M39" s="317">
        <v>857783.77462000004</v>
      </c>
      <c r="N39" s="317">
        <v>947576.97782999999</v>
      </c>
      <c r="O39" s="317">
        <v>1196439.60757</v>
      </c>
    </row>
    <row r="40" spans="1:15">
      <c r="A40" s="349" t="s">
        <v>9</v>
      </c>
      <c r="B40" s="219" t="s">
        <v>148</v>
      </c>
      <c r="C40" s="317">
        <v>21849.196</v>
      </c>
      <c r="D40" s="317">
        <v>30464.387500000001</v>
      </c>
      <c r="E40" s="317">
        <v>18504.455999999998</v>
      </c>
      <c r="F40" s="317">
        <v>26344.361000000001</v>
      </c>
      <c r="G40" s="317">
        <v>29230.192500000001</v>
      </c>
      <c r="H40" s="317">
        <v>28474.8295</v>
      </c>
      <c r="I40" s="317">
        <v>29981.425500000001</v>
      </c>
      <c r="J40" s="317">
        <v>28240.7415</v>
      </c>
      <c r="K40" s="317">
        <v>20427.714499999998</v>
      </c>
      <c r="L40" s="317">
        <v>21912.4565</v>
      </c>
      <c r="M40" s="317">
        <v>27267.899000000001</v>
      </c>
      <c r="N40" s="317">
        <v>28937.951000000001</v>
      </c>
      <c r="O40" s="317">
        <v>29095.855500000001</v>
      </c>
    </row>
    <row r="41" spans="1:15">
      <c r="A41" s="350"/>
      <c r="B41" s="219" t="s">
        <v>149</v>
      </c>
      <c r="C41" s="317">
        <v>478029.81420000002</v>
      </c>
      <c r="D41" s="317">
        <v>448037.47727999999</v>
      </c>
      <c r="E41" s="317">
        <v>430836.1434</v>
      </c>
      <c r="F41" s="317">
        <v>437695.74828</v>
      </c>
      <c r="G41" s="317">
        <v>473007.03840000002</v>
      </c>
      <c r="H41" s="317">
        <v>421331.09544</v>
      </c>
      <c r="I41" s="317">
        <v>485631.76607999997</v>
      </c>
      <c r="J41" s="317">
        <v>431412.92316000001</v>
      </c>
      <c r="K41" s="317">
        <v>201606.01056</v>
      </c>
      <c r="L41" s="317">
        <v>208298.65752000001</v>
      </c>
      <c r="M41" s="317">
        <v>309793.99751999998</v>
      </c>
      <c r="N41" s="317">
        <v>381092.83955999999</v>
      </c>
      <c r="O41" s="317">
        <v>385992.26063999999</v>
      </c>
    </row>
    <row r="42" spans="1:15">
      <c r="A42" s="344"/>
      <c r="B42" s="219" t="s">
        <v>150</v>
      </c>
      <c r="C42" s="317">
        <v>781.17474000000004</v>
      </c>
      <c r="D42" s="317">
        <v>819.35447999999997</v>
      </c>
      <c r="E42" s="317">
        <v>387.38492000000002</v>
      </c>
      <c r="F42" s="317">
        <v>614.66672000000005</v>
      </c>
      <c r="G42" s="317">
        <v>957.48828000000003</v>
      </c>
      <c r="H42" s="317">
        <v>400.10998000000001</v>
      </c>
      <c r="I42" s="317">
        <v>343.57585999999998</v>
      </c>
      <c r="J42" s="317">
        <v>403.51211999999998</v>
      </c>
      <c r="K42" s="317">
        <v>659.15826000000004</v>
      </c>
      <c r="L42" s="317">
        <v>817.04711999999995</v>
      </c>
      <c r="M42" s="317">
        <v>618.28279999999995</v>
      </c>
      <c r="N42" s="317">
        <v>892.29395999999997</v>
      </c>
      <c r="O42" s="317">
        <v>526.41362000000004</v>
      </c>
    </row>
    <row r="43" spans="1:15">
      <c r="A43" s="349" t="s">
        <v>67</v>
      </c>
      <c r="B43" s="219" t="s">
        <v>151</v>
      </c>
      <c r="C43" s="317"/>
      <c r="D43" s="317">
        <v>2.2800000000000001E-2</v>
      </c>
      <c r="E43" s="317">
        <v>9.5E-4</v>
      </c>
      <c r="F43" s="317"/>
      <c r="G43" s="317">
        <v>9.5E-4</v>
      </c>
      <c r="H43" s="317"/>
      <c r="I43" s="317"/>
      <c r="J43" s="317"/>
      <c r="K43" s="317">
        <v>3.3250000000000002E-2</v>
      </c>
      <c r="L43" s="317">
        <v>9.5E-4</v>
      </c>
      <c r="M43" s="317"/>
      <c r="N43" s="317"/>
      <c r="O43" s="317">
        <v>9.5E-4</v>
      </c>
    </row>
    <row r="44" spans="1:15">
      <c r="A44" s="350"/>
      <c r="B44" s="219" t="s">
        <v>152</v>
      </c>
      <c r="C44" s="317">
        <v>5692.48128</v>
      </c>
      <c r="D44" s="317">
        <v>12488.84952</v>
      </c>
      <c r="E44" s="317">
        <v>14171.85348</v>
      </c>
      <c r="F44" s="317">
        <v>10850.79816</v>
      </c>
      <c r="G44" s="317">
        <v>11888.2644</v>
      </c>
      <c r="H44" s="317">
        <v>12273.8946</v>
      </c>
      <c r="I44" s="317">
        <v>14396.481599999999</v>
      </c>
      <c r="J44" s="317">
        <v>14191.599</v>
      </c>
      <c r="K44" s="317">
        <v>8850.6051599999992</v>
      </c>
      <c r="L44" s="317">
        <v>9365.1412799999998</v>
      </c>
      <c r="M44" s="317">
        <v>9940.4766</v>
      </c>
      <c r="N44" s="317">
        <v>8961.5640000000003</v>
      </c>
      <c r="O44" s="317">
        <v>12216.46164</v>
      </c>
    </row>
    <row r="45" spans="1:15">
      <c r="A45" s="344"/>
      <c r="B45" s="219" t="s">
        <v>153</v>
      </c>
      <c r="C45" s="317">
        <v>8391.2747999999992</v>
      </c>
      <c r="D45" s="317">
        <v>7539.2733600000001</v>
      </c>
      <c r="E45" s="317">
        <v>8188.4534400000002</v>
      </c>
      <c r="F45" s="317">
        <v>5850.1348799999996</v>
      </c>
      <c r="G45" s="317">
        <v>8560.7191199999997</v>
      </c>
      <c r="H45" s="317">
        <v>8334.9048000000003</v>
      </c>
      <c r="I45" s="317">
        <v>7978.9488000000001</v>
      </c>
      <c r="J45" s="317">
        <v>5439.6743999999999</v>
      </c>
      <c r="K45" s="317">
        <v>4030.95</v>
      </c>
      <c r="L45" s="317">
        <v>4672.2436799999996</v>
      </c>
      <c r="M45" s="317">
        <v>5835.2428799999998</v>
      </c>
      <c r="N45" s="317">
        <v>5806.46976</v>
      </c>
      <c r="O45" s="317">
        <v>5146.0526399999999</v>
      </c>
    </row>
    <row r="46" spans="1:15">
      <c r="A46" s="318" t="s">
        <v>15</v>
      </c>
      <c r="B46" s="319"/>
      <c r="C46" s="320">
        <v>2135701.1767500001</v>
      </c>
      <c r="D46" s="320">
        <v>1985960.5500700001</v>
      </c>
      <c r="E46" s="320">
        <v>1873265.32244</v>
      </c>
      <c r="F46" s="320">
        <v>1758022.99923</v>
      </c>
      <c r="G46" s="320">
        <v>2356059.5199199999</v>
      </c>
      <c r="H46" s="320">
        <v>1923840.58177</v>
      </c>
      <c r="I46" s="320">
        <v>2310492.7861700002</v>
      </c>
      <c r="J46" s="320">
        <v>1902949.4867100001</v>
      </c>
      <c r="K46" s="320">
        <v>1186649.3007</v>
      </c>
      <c r="L46" s="320">
        <v>1405092.62277</v>
      </c>
      <c r="M46" s="320">
        <v>1326746.2935800001</v>
      </c>
      <c r="N46" s="320">
        <v>1595279.8433099999</v>
      </c>
      <c r="O46" s="320">
        <v>1759087.38472</v>
      </c>
    </row>
    <row r="47" spans="1:15">
      <c r="A47" s="242"/>
      <c r="B47" s="243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5">
        <f>(+O46/C46-1)*100</f>
        <v>-17.634198835022019</v>
      </c>
    </row>
    <row r="48" spans="1:15">
      <c r="A48" s="242"/>
      <c r="B48" s="243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</row>
    <row r="49" spans="1:14">
      <c r="A49" s="242"/>
      <c r="B49" s="243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</row>
    <row r="50" spans="1:14">
      <c r="C50" s="190" t="s">
        <v>30</v>
      </c>
      <c r="D50" s="190" t="s">
        <v>31</v>
      </c>
      <c r="E50" s="190" t="s">
        <v>32</v>
      </c>
      <c r="F50" s="188"/>
      <c r="G50" s="188"/>
      <c r="H50" s="189"/>
    </row>
    <row r="51" spans="1:14">
      <c r="A51" s="187"/>
      <c r="C51" s="223"/>
      <c r="D51" s="223"/>
      <c r="E51" s="223"/>
      <c r="F51" s="188"/>
      <c r="G51" s="188"/>
      <c r="H51" s="189"/>
    </row>
    <row r="52" spans="1:14">
      <c r="A52" s="187">
        <v>0</v>
      </c>
      <c r="B52" s="222">
        <v>45444</v>
      </c>
      <c r="C52" s="221">
        <v>40.377900895550802</v>
      </c>
      <c r="D52" s="221">
        <v>62.145020957620687</v>
      </c>
      <c r="E52" s="221">
        <f t="shared" ref="E52" si="1">IF(C52&lt;D52,C52,D52)</f>
        <v>40.377900895550802</v>
      </c>
      <c r="F52" s="188">
        <f t="shared" ref="F52:F115" si="2">IF(DAY(B52)=1,600,"")</f>
        <v>600</v>
      </c>
      <c r="G52">
        <f>YEAR(B52)</f>
        <v>2024</v>
      </c>
      <c r="H52" s="188"/>
      <c r="I52" s="189"/>
    </row>
    <row r="53" spans="1:14">
      <c r="A53" s="187">
        <v>1</v>
      </c>
      <c r="B53" s="222">
        <v>45445</v>
      </c>
      <c r="C53" s="221">
        <v>37.02979080555081</v>
      </c>
      <c r="D53" s="221">
        <v>62.145020957620687</v>
      </c>
      <c r="E53" s="221">
        <f t="shared" ref="E53" si="3">IF(C53&lt;D53,C53,D53)</f>
        <v>37.02979080555081</v>
      </c>
      <c r="F53" s="188" t="str">
        <f t="shared" si="2"/>
        <v/>
      </c>
      <c r="G53" t="str">
        <f>IF(MONTH(B53)=1,IF(DAY(B53)=1,YEAR(B53),""),"")</f>
        <v/>
      </c>
      <c r="H53" s="188"/>
      <c r="I53" s="189"/>
    </row>
    <row r="54" spans="1:14">
      <c r="A54" s="187">
        <v>2</v>
      </c>
      <c r="B54" s="222">
        <v>45446</v>
      </c>
      <c r="C54" s="221">
        <v>67.751569642548944</v>
      </c>
      <c r="D54" s="221">
        <v>62.145020957620687</v>
      </c>
      <c r="E54" s="221">
        <f t="shared" ref="E54:E58" si="4">IF(C54&lt;D54,C54,D54)</f>
        <v>62.145020957620687</v>
      </c>
      <c r="F54" s="188" t="str">
        <f t="shared" si="2"/>
        <v/>
      </c>
      <c r="G54" t="str">
        <f t="shared" ref="G54:G117" si="5">IF(MONTH(B54)=1,IF(DAY(B54)=1,YEAR(B54),""),"")</f>
        <v/>
      </c>
      <c r="H54" s="188"/>
      <c r="I54" s="189"/>
    </row>
    <row r="55" spans="1:14">
      <c r="A55" s="187">
        <v>3</v>
      </c>
      <c r="B55" s="222">
        <v>45447</v>
      </c>
      <c r="C55" s="221">
        <v>98.805928746552667</v>
      </c>
      <c r="D55" s="221">
        <v>62.145020957620687</v>
      </c>
      <c r="E55" s="221">
        <f t="shared" si="4"/>
        <v>62.145020957620687</v>
      </c>
      <c r="F55" s="188" t="str">
        <f t="shared" si="2"/>
        <v/>
      </c>
      <c r="G55" t="str">
        <f t="shared" si="5"/>
        <v/>
      </c>
      <c r="H55" s="188"/>
      <c r="I55" s="189"/>
    </row>
    <row r="56" spans="1:14">
      <c r="A56" s="187">
        <v>4</v>
      </c>
      <c r="B56" s="222">
        <v>45448</v>
      </c>
      <c r="C56" s="221">
        <v>79.432074932758439</v>
      </c>
      <c r="D56" s="221">
        <v>62.145020957620687</v>
      </c>
      <c r="E56" s="221">
        <f t="shared" si="4"/>
        <v>62.145020957620687</v>
      </c>
      <c r="F56" s="188" t="str">
        <f t="shared" si="2"/>
        <v/>
      </c>
      <c r="G56" t="str">
        <f t="shared" si="5"/>
        <v/>
      </c>
      <c r="H56" s="188"/>
      <c r="I56" s="189"/>
    </row>
    <row r="57" spans="1:14">
      <c r="A57" s="187">
        <v>5</v>
      </c>
      <c r="B57" s="222">
        <v>45449</v>
      </c>
      <c r="C57" s="221">
        <v>69.188575634758436</v>
      </c>
      <c r="D57" s="221">
        <v>62.145020957620687</v>
      </c>
      <c r="E57" s="221">
        <f t="shared" si="4"/>
        <v>62.145020957620687</v>
      </c>
      <c r="F57" s="188" t="str">
        <f t="shared" si="2"/>
        <v/>
      </c>
      <c r="G57" t="str">
        <f t="shared" si="5"/>
        <v/>
      </c>
      <c r="H57" s="188"/>
      <c r="I57" s="189"/>
    </row>
    <row r="58" spans="1:14">
      <c r="A58" s="187">
        <v>6</v>
      </c>
      <c r="B58" s="222">
        <v>45450</v>
      </c>
      <c r="C58" s="221">
        <v>70.878695622756581</v>
      </c>
      <c r="D58" s="221">
        <v>62.145020957620687</v>
      </c>
      <c r="E58" s="221">
        <f t="shared" si="4"/>
        <v>62.145020957620687</v>
      </c>
      <c r="F58" s="188" t="str">
        <f t="shared" si="2"/>
        <v/>
      </c>
      <c r="G58" t="str">
        <f t="shared" si="5"/>
        <v/>
      </c>
      <c r="H58" s="188"/>
      <c r="I58" s="189"/>
    </row>
    <row r="59" spans="1:14">
      <c r="A59" s="187">
        <v>7</v>
      </c>
      <c r="B59" s="222">
        <v>45451</v>
      </c>
      <c r="C59" s="221">
        <v>50.981575186758434</v>
      </c>
      <c r="D59" s="221">
        <v>62.145020957620687</v>
      </c>
      <c r="E59" s="221">
        <f t="shared" ref="E59:E115" si="6">IF(C59&lt;D59,C59,D59)</f>
        <v>50.981575186758434</v>
      </c>
      <c r="F59" s="188" t="str">
        <f t="shared" si="2"/>
        <v/>
      </c>
      <c r="G59" t="str">
        <f t="shared" si="5"/>
        <v/>
      </c>
      <c r="H59" s="188"/>
      <c r="I59" s="189"/>
    </row>
    <row r="60" spans="1:14">
      <c r="A60" s="187">
        <v>8</v>
      </c>
      <c r="B60" s="222">
        <v>45452</v>
      </c>
      <c r="C60" s="221">
        <v>20.362609987756571</v>
      </c>
      <c r="D60" s="221">
        <v>62.145020957620687</v>
      </c>
      <c r="E60" s="221">
        <f t="shared" si="6"/>
        <v>20.362609987756571</v>
      </c>
      <c r="F60" s="188" t="str">
        <f t="shared" si="2"/>
        <v/>
      </c>
      <c r="G60" t="str">
        <f t="shared" si="5"/>
        <v/>
      </c>
      <c r="H60" s="188"/>
      <c r="I60" s="189"/>
    </row>
    <row r="61" spans="1:14">
      <c r="A61" s="187">
        <v>9</v>
      </c>
      <c r="B61" s="222">
        <v>45453</v>
      </c>
      <c r="C61" s="221">
        <v>36.739903890758434</v>
      </c>
      <c r="D61" s="221">
        <v>62.145020957620687</v>
      </c>
      <c r="E61" s="221">
        <f t="shared" si="6"/>
        <v>36.739903890758434</v>
      </c>
      <c r="F61" s="188" t="str">
        <f t="shared" si="2"/>
        <v/>
      </c>
      <c r="G61" t="str">
        <f t="shared" si="5"/>
        <v/>
      </c>
      <c r="H61" s="188"/>
      <c r="I61" s="189"/>
    </row>
    <row r="62" spans="1:14">
      <c r="A62" s="187">
        <v>10</v>
      </c>
      <c r="B62" s="222">
        <v>45454</v>
      </c>
      <c r="C62" s="221">
        <v>39.157048026758439</v>
      </c>
      <c r="D62" s="221">
        <v>62.145020957620687</v>
      </c>
      <c r="E62" s="221">
        <f t="shared" si="6"/>
        <v>39.157048026758439</v>
      </c>
      <c r="F62" s="188" t="str">
        <f t="shared" si="2"/>
        <v/>
      </c>
      <c r="G62" t="str">
        <f t="shared" si="5"/>
        <v/>
      </c>
      <c r="H62" s="188"/>
      <c r="I62" s="189"/>
    </row>
    <row r="63" spans="1:14">
      <c r="A63" s="187">
        <v>11</v>
      </c>
      <c r="B63" s="222">
        <v>45455</v>
      </c>
      <c r="C63" s="221">
        <v>60.845410224167765</v>
      </c>
      <c r="D63" s="221">
        <v>62.145020957620687</v>
      </c>
      <c r="E63" s="221">
        <f t="shared" si="6"/>
        <v>60.845410224167765</v>
      </c>
      <c r="F63" s="188" t="str">
        <f t="shared" si="2"/>
        <v/>
      </c>
      <c r="G63" t="str">
        <f t="shared" si="5"/>
        <v/>
      </c>
      <c r="H63" s="188"/>
      <c r="I63" s="189"/>
    </row>
    <row r="64" spans="1:14">
      <c r="A64" s="187">
        <v>12</v>
      </c>
      <c r="B64" s="222">
        <v>45456</v>
      </c>
      <c r="C64" s="221">
        <v>66.206468161169624</v>
      </c>
      <c r="D64" s="221">
        <v>62.145020957620687</v>
      </c>
      <c r="E64" s="221">
        <f t="shared" si="6"/>
        <v>62.145020957620687</v>
      </c>
      <c r="F64" s="188" t="str">
        <f t="shared" si="2"/>
        <v/>
      </c>
      <c r="G64" t="str">
        <f t="shared" si="5"/>
        <v/>
      </c>
      <c r="H64" s="188"/>
      <c r="I64" s="189"/>
    </row>
    <row r="65" spans="1:9">
      <c r="A65" s="187">
        <v>13</v>
      </c>
      <c r="B65" s="222">
        <v>45457</v>
      </c>
      <c r="C65" s="221">
        <v>57.264168413165898</v>
      </c>
      <c r="D65" s="221">
        <v>62.145020957620687</v>
      </c>
      <c r="E65" s="221">
        <f t="shared" si="6"/>
        <v>57.264168413165898</v>
      </c>
      <c r="F65" s="188" t="str">
        <f t="shared" si="2"/>
        <v/>
      </c>
      <c r="G65" t="str">
        <f t="shared" si="5"/>
        <v/>
      </c>
      <c r="H65" s="188"/>
      <c r="I65" s="189"/>
    </row>
    <row r="66" spans="1:9">
      <c r="A66" s="187">
        <v>14</v>
      </c>
      <c r="B66" s="222">
        <v>45458</v>
      </c>
      <c r="C66" s="221">
        <v>31.127024317171482</v>
      </c>
      <c r="D66" s="221">
        <v>62.145020957620687</v>
      </c>
      <c r="E66" s="221">
        <f t="shared" si="6"/>
        <v>31.127024317171482</v>
      </c>
      <c r="F66" s="188" t="str">
        <f t="shared" si="2"/>
        <v/>
      </c>
      <c r="G66" t="str">
        <f t="shared" si="5"/>
        <v/>
      </c>
      <c r="H66" s="188" t="str">
        <f>IF(DAY(B66)=15,IF(MONTH(B66)=1,"E",IF(MONTH(B66)=2,"F",IF(MONTH(B66)=3,"M",IF(MONTH(B66)=4,"A",IF(MONTH(B66)=5,"M",IF(MONTH(B66)=6,"J",IF(MONTH(B66)=7,"J",IF(MONTH(B66)=8,"A",IF(MONTH(B66)=9,"S",IF(MONTH(B66)=10,"O",IF(MONTH(B66)=11,"N",IF(MONTH(B66)=12,"D","")))))))))))),"")</f>
        <v>J</v>
      </c>
      <c r="I66" s="189">
        <f>IF(DAY(B66)=15,D66,"")</f>
        <v>62.145020957620687</v>
      </c>
    </row>
    <row r="67" spans="1:9">
      <c r="A67" s="187">
        <v>15</v>
      </c>
      <c r="B67" s="222">
        <v>45459</v>
      </c>
      <c r="C67" s="221">
        <v>37.974406523165896</v>
      </c>
      <c r="D67" s="221">
        <v>62.145020957620687</v>
      </c>
      <c r="E67" s="221">
        <f t="shared" si="6"/>
        <v>37.974406523165896</v>
      </c>
      <c r="F67" s="188" t="str">
        <f t="shared" si="2"/>
        <v/>
      </c>
      <c r="G67" t="str">
        <f t="shared" si="5"/>
        <v/>
      </c>
      <c r="H67" s="188" t="str">
        <f t="shared" ref="H67:H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I67" s="189"/>
    </row>
    <row r="68" spans="1:9">
      <c r="A68" s="187">
        <v>16</v>
      </c>
      <c r="B68" s="222">
        <v>45460</v>
      </c>
      <c r="C68" s="221">
        <v>59.228509084169623</v>
      </c>
      <c r="D68" s="221">
        <v>62.145020957620687</v>
      </c>
      <c r="E68" s="221">
        <f t="shared" si="6"/>
        <v>59.228509084169623</v>
      </c>
      <c r="F68" s="188" t="str">
        <f t="shared" si="2"/>
        <v/>
      </c>
      <c r="G68" t="str">
        <f t="shared" si="5"/>
        <v/>
      </c>
      <c r="H68" s="188" t="str">
        <f t="shared" si="7"/>
        <v/>
      </c>
      <c r="I68" s="189"/>
    </row>
    <row r="69" spans="1:9">
      <c r="A69" s="187">
        <v>17</v>
      </c>
      <c r="B69" s="222">
        <v>45461</v>
      </c>
      <c r="C69" s="221">
        <v>81.494912965169632</v>
      </c>
      <c r="D69" s="221">
        <v>62.145020957620687</v>
      </c>
      <c r="E69" s="221">
        <f t="shared" si="6"/>
        <v>62.145020957620687</v>
      </c>
      <c r="F69" s="188" t="str">
        <f t="shared" si="2"/>
        <v/>
      </c>
      <c r="G69" t="str">
        <f t="shared" si="5"/>
        <v/>
      </c>
      <c r="H69" s="188" t="str">
        <f t="shared" si="7"/>
        <v/>
      </c>
      <c r="I69" s="189"/>
    </row>
    <row r="70" spans="1:9">
      <c r="A70" s="187">
        <v>18</v>
      </c>
      <c r="B70" s="222">
        <v>45462</v>
      </c>
      <c r="C70" s="221">
        <v>86.923513643855273</v>
      </c>
      <c r="D70" s="221">
        <v>62.145020957620687</v>
      </c>
      <c r="E70" s="221">
        <f t="shared" si="6"/>
        <v>62.145020957620687</v>
      </c>
      <c r="F70" s="188" t="str">
        <f t="shared" si="2"/>
        <v/>
      </c>
      <c r="G70" t="str">
        <f t="shared" si="5"/>
        <v/>
      </c>
      <c r="H70" s="188" t="str">
        <f t="shared" si="7"/>
        <v/>
      </c>
      <c r="I70" s="189"/>
    </row>
    <row r="71" spans="1:9">
      <c r="A71" s="187">
        <v>19</v>
      </c>
      <c r="B71" s="222">
        <v>45463</v>
      </c>
      <c r="C71" s="221">
        <v>75.492146505858997</v>
      </c>
      <c r="D71" s="221">
        <v>62.145020957620687</v>
      </c>
      <c r="E71" s="221">
        <f t="shared" si="6"/>
        <v>62.145020957620687</v>
      </c>
      <c r="F71" s="188" t="str">
        <f t="shared" si="2"/>
        <v/>
      </c>
      <c r="G71" t="str">
        <f t="shared" si="5"/>
        <v/>
      </c>
      <c r="H71" s="188" t="str">
        <f t="shared" si="7"/>
        <v/>
      </c>
      <c r="I71" s="189"/>
    </row>
    <row r="72" spans="1:9">
      <c r="A72" s="187">
        <v>20</v>
      </c>
      <c r="B72" s="222">
        <v>45464</v>
      </c>
      <c r="C72" s="221">
        <v>73.267400409853408</v>
      </c>
      <c r="D72" s="221">
        <v>62.145020957620687</v>
      </c>
      <c r="E72" s="221">
        <f t="shared" si="6"/>
        <v>62.145020957620687</v>
      </c>
      <c r="F72" s="188" t="str">
        <f t="shared" si="2"/>
        <v/>
      </c>
      <c r="G72" t="str">
        <f t="shared" si="5"/>
        <v/>
      </c>
      <c r="H72" s="188" t="str">
        <f t="shared" si="7"/>
        <v/>
      </c>
      <c r="I72" s="189"/>
    </row>
    <row r="73" spans="1:9">
      <c r="A73" s="187">
        <v>21</v>
      </c>
      <c r="B73" s="222">
        <v>45465</v>
      </c>
      <c r="C73" s="221">
        <v>49.069099326860858</v>
      </c>
      <c r="D73" s="221">
        <v>62.145020957620687</v>
      </c>
      <c r="E73" s="221">
        <f t="shared" si="6"/>
        <v>49.069099326860858</v>
      </c>
      <c r="F73" s="188" t="str">
        <f t="shared" si="2"/>
        <v/>
      </c>
      <c r="G73" t="str">
        <f t="shared" si="5"/>
        <v/>
      </c>
      <c r="H73" s="188" t="str">
        <f t="shared" si="7"/>
        <v/>
      </c>
      <c r="I73" s="189"/>
    </row>
    <row r="74" spans="1:9">
      <c r="A74" s="187">
        <v>22</v>
      </c>
      <c r="B74" s="222">
        <v>45466</v>
      </c>
      <c r="C74" s="221">
        <v>35.045765844855275</v>
      </c>
      <c r="D74" s="221">
        <v>62.145020957620687</v>
      </c>
      <c r="E74" s="221">
        <f t="shared" si="6"/>
        <v>35.045765844855275</v>
      </c>
      <c r="F74" s="188" t="str">
        <f t="shared" si="2"/>
        <v/>
      </c>
      <c r="G74" t="str">
        <f t="shared" si="5"/>
        <v/>
      </c>
      <c r="H74" s="188" t="str">
        <f t="shared" si="7"/>
        <v/>
      </c>
      <c r="I74" s="189"/>
    </row>
    <row r="75" spans="1:9">
      <c r="A75" s="187">
        <v>23</v>
      </c>
      <c r="B75" s="222">
        <v>45467</v>
      </c>
      <c r="C75" s="221">
        <v>54.089537297859003</v>
      </c>
      <c r="D75" s="221">
        <v>62.145020957620687</v>
      </c>
      <c r="E75" s="221">
        <f t="shared" si="6"/>
        <v>54.089537297859003</v>
      </c>
      <c r="F75" s="188" t="str">
        <f t="shared" si="2"/>
        <v/>
      </c>
      <c r="G75" t="str">
        <f t="shared" si="5"/>
        <v/>
      </c>
      <c r="H75" s="188" t="str">
        <f t="shared" si="7"/>
        <v/>
      </c>
      <c r="I75" s="189"/>
    </row>
    <row r="76" spans="1:9">
      <c r="A76" s="187">
        <v>24</v>
      </c>
      <c r="B76" s="222">
        <v>45468</v>
      </c>
      <c r="C76" s="221">
        <v>69.452281835855274</v>
      </c>
      <c r="D76" s="221">
        <v>62.145020957620687</v>
      </c>
      <c r="E76" s="221">
        <f t="shared" si="6"/>
        <v>62.145020957620687</v>
      </c>
      <c r="F76" s="188" t="str">
        <f t="shared" si="2"/>
        <v/>
      </c>
      <c r="G76" t="str">
        <f t="shared" si="5"/>
        <v/>
      </c>
      <c r="H76" s="188" t="str">
        <f t="shared" si="7"/>
        <v/>
      </c>
      <c r="I76" s="189"/>
    </row>
    <row r="77" spans="1:9">
      <c r="A77" s="187">
        <v>25</v>
      </c>
      <c r="B77" s="222">
        <v>45469</v>
      </c>
      <c r="C77" s="221">
        <v>62.754375802933225</v>
      </c>
      <c r="D77" s="221">
        <v>62.145020957620687</v>
      </c>
      <c r="E77" s="221">
        <f t="shared" si="6"/>
        <v>62.145020957620687</v>
      </c>
      <c r="F77" s="188" t="str">
        <f t="shared" si="2"/>
        <v/>
      </c>
      <c r="G77" t="str">
        <f t="shared" si="5"/>
        <v/>
      </c>
      <c r="H77" s="188" t="str">
        <f t="shared" si="7"/>
        <v/>
      </c>
      <c r="I77" s="189"/>
    </row>
    <row r="78" spans="1:9">
      <c r="A78" s="187">
        <v>26</v>
      </c>
      <c r="B78" s="222">
        <v>45470</v>
      </c>
      <c r="C78" s="221">
        <v>58.297634420935076</v>
      </c>
      <c r="D78" s="221">
        <v>62.145020957620687</v>
      </c>
      <c r="E78" s="221">
        <f t="shared" si="6"/>
        <v>58.297634420935076</v>
      </c>
      <c r="F78" s="188" t="str">
        <f t="shared" si="2"/>
        <v/>
      </c>
      <c r="G78" t="str">
        <f t="shared" si="5"/>
        <v/>
      </c>
      <c r="H78" s="188" t="str">
        <f t="shared" si="7"/>
        <v/>
      </c>
      <c r="I78" s="189"/>
    </row>
    <row r="79" spans="1:9">
      <c r="A79" s="187">
        <v>27</v>
      </c>
      <c r="B79" s="222">
        <v>45471</v>
      </c>
      <c r="C79" s="221">
        <v>52.009208182935076</v>
      </c>
      <c r="D79" s="221">
        <v>62.145020957620687</v>
      </c>
      <c r="E79" s="221">
        <f t="shared" si="6"/>
        <v>52.009208182935076</v>
      </c>
      <c r="F79" s="188" t="str">
        <f t="shared" si="2"/>
        <v/>
      </c>
      <c r="G79" t="str">
        <f t="shared" si="5"/>
        <v/>
      </c>
      <c r="H79" s="188" t="str">
        <f t="shared" si="7"/>
        <v/>
      </c>
      <c r="I79" s="189"/>
    </row>
    <row r="80" spans="1:9">
      <c r="A80" s="187">
        <v>28</v>
      </c>
      <c r="B80" s="222">
        <v>45472</v>
      </c>
      <c r="C80" s="221">
        <v>34.695431029936955</v>
      </c>
      <c r="D80" s="221">
        <v>62.145020957620687</v>
      </c>
      <c r="E80" s="221">
        <f t="shared" si="6"/>
        <v>34.695431029936955</v>
      </c>
      <c r="F80" s="188" t="str">
        <f t="shared" si="2"/>
        <v/>
      </c>
      <c r="G80" t="str">
        <f t="shared" si="5"/>
        <v/>
      </c>
      <c r="H80" s="188" t="str">
        <f t="shared" si="7"/>
        <v/>
      </c>
      <c r="I80" s="189"/>
    </row>
    <row r="81" spans="1:9">
      <c r="A81" s="187">
        <v>29</v>
      </c>
      <c r="B81" s="222">
        <v>45473</v>
      </c>
      <c r="C81" s="221">
        <v>31.637069029933219</v>
      </c>
      <c r="D81" s="221">
        <v>62.145020957620687</v>
      </c>
      <c r="E81" s="221">
        <f t="shared" si="6"/>
        <v>31.637069029933219</v>
      </c>
      <c r="F81" s="188" t="str">
        <f t="shared" si="2"/>
        <v/>
      </c>
      <c r="G81" t="str">
        <f t="shared" si="5"/>
        <v/>
      </c>
      <c r="H81" s="188" t="str">
        <f t="shared" si="7"/>
        <v/>
      </c>
      <c r="I81" s="189"/>
    </row>
    <row r="82" spans="1:9">
      <c r="A82" s="187">
        <v>30</v>
      </c>
      <c r="B82" s="222">
        <v>45474</v>
      </c>
      <c r="C82" s="221">
        <v>21.495916996933222</v>
      </c>
      <c r="D82" s="221">
        <v>25.910326049029329</v>
      </c>
      <c r="E82" s="221">
        <f t="shared" si="6"/>
        <v>21.495916996933222</v>
      </c>
      <c r="F82" s="188">
        <f t="shared" si="2"/>
        <v>600</v>
      </c>
      <c r="G82" t="str">
        <f t="shared" si="5"/>
        <v/>
      </c>
      <c r="H82" s="188" t="str">
        <f t="shared" si="7"/>
        <v/>
      </c>
      <c r="I82" s="189"/>
    </row>
    <row r="83" spans="1:9">
      <c r="A83" s="187">
        <v>31</v>
      </c>
      <c r="B83" s="222">
        <v>45475</v>
      </c>
      <c r="C83" s="221">
        <v>34.492029538935078</v>
      </c>
      <c r="D83" s="221">
        <v>25.910326049029329</v>
      </c>
      <c r="E83" s="221">
        <f t="shared" si="6"/>
        <v>25.910326049029329</v>
      </c>
      <c r="F83" s="188" t="str">
        <f t="shared" si="2"/>
        <v/>
      </c>
      <c r="G83" t="str">
        <f t="shared" si="5"/>
        <v/>
      </c>
      <c r="H83" s="188" t="str">
        <f t="shared" si="7"/>
        <v/>
      </c>
      <c r="I83" s="189"/>
    </row>
    <row r="84" spans="1:9">
      <c r="A84" s="187">
        <v>32</v>
      </c>
      <c r="B84" s="222">
        <v>45476</v>
      </c>
      <c r="C84" s="221">
        <v>52.16376323260716</v>
      </c>
      <c r="D84" s="221">
        <v>25.910326049029329</v>
      </c>
      <c r="E84" s="221">
        <f t="shared" si="6"/>
        <v>25.910326049029329</v>
      </c>
      <c r="F84" s="188" t="str">
        <f t="shared" si="2"/>
        <v/>
      </c>
      <c r="G84" t="str">
        <f t="shared" si="5"/>
        <v/>
      </c>
      <c r="H84" s="188" t="str">
        <f t="shared" si="7"/>
        <v/>
      </c>
      <c r="I84" s="189"/>
    </row>
    <row r="85" spans="1:9">
      <c r="A85" s="187">
        <v>33</v>
      </c>
      <c r="B85" s="222">
        <v>45477</v>
      </c>
      <c r="C85" s="221">
        <v>44.163039307609026</v>
      </c>
      <c r="D85" s="221">
        <v>25.910326049029329</v>
      </c>
      <c r="E85" s="221">
        <f t="shared" si="6"/>
        <v>25.910326049029329</v>
      </c>
      <c r="F85" s="188" t="str">
        <f t="shared" si="2"/>
        <v/>
      </c>
      <c r="G85" t="str">
        <f t="shared" si="5"/>
        <v/>
      </c>
      <c r="H85" s="188" t="str">
        <f t="shared" si="7"/>
        <v/>
      </c>
      <c r="I85" s="189"/>
    </row>
    <row r="86" spans="1:9">
      <c r="A86" s="187">
        <v>34</v>
      </c>
      <c r="B86" s="222">
        <v>45478</v>
      </c>
      <c r="C86" s="221">
        <v>45.345475433607163</v>
      </c>
      <c r="D86" s="221">
        <v>25.910326049029329</v>
      </c>
      <c r="E86" s="221">
        <f t="shared" si="6"/>
        <v>25.910326049029329</v>
      </c>
      <c r="F86" s="188" t="str">
        <f t="shared" si="2"/>
        <v/>
      </c>
      <c r="G86" t="str">
        <f t="shared" si="5"/>
        <v/>
      </c>
      <c r="H86" s="188" t="str">
        <f t="shared" si="7"/>
        <v/>
      </c>
      <c r="I86" s="189"/>
    </row>
    <row r="87" spans="1:9">
      <c r="A87" s="187">
        <v>35</v>
      </c>
      <c r="B87" s="222">
        <v>45479</v>
      </c>
      <c r="C87" s="221">
        <v>15.12081097160717</v>
      </c>
      <c r="D87" s="221">
        <v>25.910326049029329</v>
      </c>
      <c r="E87" s="221">
        <f t="shared" si="6"/>
        <v>15.12081097160717</v>
      </c>
      <c r="F87" s="188" t="str">
        <f t="shared" si="2"/>
        <v/>
      </c>
      <c r="G87" t="str">
        <f t="shared" si="5"/>
        <v/>
      </c>
      <c r="H87" s="188" t="str">
        <f t="shared" si="7"/>
        <v/>
      </c>
      <c r="I87" s="189"/>
    </row>
    <row r="88" spans="1:9">
      <c r="A88" s="187">
        <v>36</v>
      </c>
      <c r="B88" s="222">
        <v>45480</v>
      </c>
      <c r="C88" s="221">
        <v>19.39214861760717</v>
      </c>
      <c r="D88" s="221">
        <v>25.910326049029329</v>
      </c>
      <c r="E88" s="221">
        <f t="shared" si="6"/>
        <v>19.39214861760717</v>
      </c>
      <c r="F88" s="188" t="str">
        <f t="shared" si="2"/>
        <v/>
      </c>
      <c r="G88" t="str">
        <f t="shared" si="5"/>
        <v/>
      </c>
      <c r="H88" s="188" t="str">
        <f t="shared" si="7"/>
        <v/>
      </c>
      <c r="I88" s="189"/>
    </row>
    <row r="89" spans="1:9">
      <c r="A89" s="187">
        <v>37</v>
      </c>
      <c r="B89" s="222">
        <v>45481</v>
      </c>
      <c r="C89" s="221">
        <v>35.733574139609033</v>
      </c>
      <c r="D89" s="221">
        <v>25.910326049029329</v>
      </c>
      <c r="E89" s="221">
        <f t="shared" si="6"/>
        <v>25.910326049029329</v>
      </c>
      <c r="F89" s="188" t="str">
        <f t="shared" si="2"/>
        <v/>
      </c>
      <c r="G89" t="str">
        <f t="shared" si="5"/>
        <v/>
      </c>
      <c r="H89" s="188" t="str">
        <f t="shared" si="7"/>
        <v/>
      </c>
      <c r="I89" s="189"/>
    </row>
    <row r="90" spans="1:9">
      <c r="A90" s="187">
        <v>38</v>
      </c>
      <c r="B90" s="222">
        <v>45482</v>
      </c>
      <c r="C90" s="221">
        <v>42.921010012607162</v>
      </c>
      <c r="D90" s="221">
        <v>25.910326049029329</v>
      </c>
      <c r="E90" s="221">
        <f t="shared" si="6"/>
        <v>25.910326049029329</v>
      </c>
      <c r="F90" s="188" t="str">
        <f t="shared" si="2"/>
        <v/>
      </c>
      <c r="G90" t="str">
        <f t="shared" si="5"/>
        <v/>
      </c>
      <c r="H90" s="188" t="str">
        <f t="shared" si="7"/>
        <v/>
      </c>
      <c r="I90" s="189"/>
    </row>
    <row r="91" spans="1:9">
      <c r="A91" s="187">
        <v>39</v>
      </c>
      <c r="B91" s="222">
        <v>45483</v>
      </c>
      <c r="C91" s="221">
        <v>42.444933230845052</v>
      </c>
      <c r="D91" s="221">
        <v>25.910326049029329</v>
      </c>
      <c r="E91" s="221">
        <f t="shared" si="6"/>
        <v>25.910326049029329</v>
      </c>
      <c r="F91" s="188" t="str">
        <f t="shared" si="2"/>
        <v/>
      </c>
      <c r="G91" t="str">
        <f t="shared" si="5"/>
        <v/>
      </c>
      <c r="H91" s="188" t="str">
        <f t="shared" si="7"/>
        <v/>
      </c>
      <c r="I91" s="189"/>
    </row>
    <row r="92" spans="1:9">
      <c r="A92" s="187">
        <v>40</v>
      </c>
      <c r="B92" s="222">
        <v>45484</v>
      </c>
      <c r="C92" s="221">
        <v>42.768076100841327</v>
      </c>
      <c r="D92" s="221">
        <v>25.910326049029329</v>
      </c>
      <c r="E92" s="221">
        <f t="shared" si="6"/>
        <v>25.910326049029329</v>
      </c>
      <c r="F92" s="188" t="str">
        <f t="shared" si="2"/>
        <v/>
      </c>
      <c r="G92" t="str">
        <f t="shared" si="5"/>
        <v/>
      </c>
      <c r="H92" s="188" t="str">
        <f t="shared" si="7"/>
        <v/>
      </c>
      <c r="I92" s="189"/>
    </row>
    <row r="93" spans="1:9">
      <c r="A93" s="187">
        <v>41</v>
      </c>
      <c r="B93" s="222">
        <v>45485</v>
      </c>
      <c r="C93" s="221">
        <v>27.577513094843191</v>
      </c>
      <c r="D93" s="221">
        <v>25.910326049029329</v>
      </c>
      <c r="E93" s="221">
        <f t="shared" si="6"/>
        <v>25.910326049029329</v>
      </c>
      <c r="F93" s="188" t="str">
        <f t="shared" si="2"/>
        <v/>
      </c>
      <c r="G93" t="str">
        <f t="shared" si="5"/>
        <v/>
      </c>
      <c r="H93" s="188" t="str">
        <f t="shared" si="7"/>
        <v/>
      </c>
      <c r="I93" s="189"/>
    </row>
    <row r="94" spans="1:9">
      <c r="A94" s="187">
        <v>42</v>
      </c>
      <c r="B94" s="222">
        <v>45486</v>
      </c>
      <c r="C94" s="221">
        <v>13.606924256841332</v>
      </c>
      <c r="D94" s="221">
        <v>25.910326049029329</v>
      </c>
      <c r="E94" s="221">
        <f t="shared" si="6"/>
        <v>13.606924256841332</v>
      </c>
      <c r="F94" s="188" t="str">
        <f t="shared" si="2"/>
        <v/>
      </c>
      <c r="G94" t="str">
        <f t="shared" si="5"/>
        <v/>
      </c>
      <c r="H94" s="188" t="str">
        <f>IF(DAY(B94)=15,IF(MONTH(B94)=1,"E",IF(MONTH(B94)=2,"F",IF(MONTH(B94)=3,"M",IF(MONTH(B94)=4,"A",IF(MONTH(B94)=5,"M",IF(MONTH(B94)=6,"J",IF(MONTH(B94)=7,"J",IF(MONTH(B94)=8,"A",IF(MONTH(B94)=9,"S",IF(MONTH(B94)=10,"O",IF(MONTH(B94)=11,"N",IF(MONTH(B94)=12,"D","")))))))))))),"")</f>
        <v/>
      </c>
      <c r="I94" s="189"/>
    </row>
    <row r="95" spans="1:9">
      <c r="A95" s="187">
        <v>43</v>
      </c>
      <c r="B95" s="222">
        <v>45487</v>
      </c>
      <c r="C95" s="221">
        <v>5.4347649878450541</v>
      </c>
      <c r="D95" s="221">
        <v>25.910326049029329</v>
      </c>
      <c r="E95" s="221">
        <f t="shared" si="6"/>
        <v>5.4347649878450541</v>
      </c>
      <c r="F95" s="188" t="str">
        <f t="shared" si="2"/>
        <v/>
      </c>
      <c r="G95" t="str">
        <f t="shared" si="5"/>
        <v/>
      </c>
      <c r="H95" s="188" t="str">
        <f t="shared" si="7"/>
        <v/>
      </c>
      <c r="I95" s="189"/>
    </row>
    <row r="96" spans="1:9">
      <c r="A96" s="187">
        <v>44</v>
      </c>
      <c r="B96" s="222">
        <v>45488</v>
      </c>
      <c r="C96" s="221">
        <v>11.368316333841328</v>
      </c>
      <c r="D96" s="221">
        <v>25.910326049029329</v>
      </c>
      <c r="E96" s="221">
        <f t="shared" si="6"/>
        <v>11.368316333841328</v>
      </c>
      <c r="F96" s="188" t="str">
        <f t="shared" si="2"/>
        <v/>
      </c>
      <c r="G96" t="str">
        <f t="shared" si="5"/>
        <v/>
      </c>
      <c r="H96" s="188" t="str">
        <f>IF(DAY(B96)=15,IF(MONTH(B96)=1,"E",IF(MONTH(B96)=2,"F",IF(MONTH(B96)=3,"M",IF(MONTH(B96)=4,"A",IF(MONTH(B96)=5,"M",IF(MONTH(B96)=6,"J",IF(MONTH(B96)=7,"J",IF(MONTH(B96)=8,"A",IF(MONTH(B96)=9,"S",IF(MONTH(B96)=10,"O",IF(MONTH(B96)=11,"N",IF(MONTH(B96)=12,"D","")))))))))))),"")</f>
        <v>J</v>
      </c>
      <c r="I96" s="189">
        <f>IF(DAY(B96)=15,D96,"")</f>
        <v>25.910326049029329</v>
      </c>
    </row>
    <row r="97" spans="1:9">
      <c r="A97" s="187">
        <v>45</v>
      </c>
      <c r="B97" s="222">
        <v>45489</v>
      </c>
      <c r="C97" s="221">
        <v>34.957289322846918</v>
      </c>
      <c r="D97" s="221">
        <v>25.910326049029329</v>
      </c>
      <c r="E97" s="221">
        <f t="shared" si="6"/>
        <v>25.910326049029329</v>
      </c>
      <c r="F97" s="188" t="str">
        <f t="shared" si="2"/>
        <v/>
      </c>
      <c r="G97" t="str">
        <f t="shared" si="5"/>
        <v/>
      </c>
      <c r="H97" s="188" t="str">
        <f>IF(DAY(B97)=15,IF(MONTH(B97)=1,"E",IF(MONTH(B97)=2,"F",IF(MONTH(B97)=3,"M",IF(MONTH(B97)=4,"A",IF(MONTH(B97)=5,"M",IF(MONTH(B97)=6,"J",IF(MONTH(B97)=7,"J",IF(MONTH(B97)=8,"A",IF(MONTH(B97)=9,"S",IF(MONTH(B97)=10,"O",IF(MONTH(B97)=11,"N",IF(MONTH(B97)=12,"D","")))))))))))),"")</f>
        <v/>
      </c>
      <c r="I97" s="189"/>
    </row>
    <row r="98" spans="1:9">
      <c r="A98" s="187">
        <v>46</v>
      </c>
      <c r="B98" s="222">
        <v>45490</v>
      </c>
      <c r="C98" s="221">
        <v>27.107350574998883</v>
      </c>
      <c r="D98" s="221">
        <v>25.910326049029329</v>
      </c>
      <c r="E98" s="221">
        <f t="shared" si="6"/>
        <v>25.910326049029329</v>
      </c>
      <c r="F98" s="188" t="str">
        <f t="shared" si="2"/>
        <v/>
      </c>
      <c r="G98" t="str">
        <f t="shared" si="5"/>
        <v/>
      </c>
      <c r="H98" s="188" t="str">
        <f t="shared" si="7"/>
        <v/>
      </c>
      <c r="I98" s="189"/>
    </row>
    <row r="99" spans="1:9">
      <c r="A99" s="187">
        <v>47</v>
      </c>
      <c r="B99" s="222">
        <v>45491</v>
      </c>
      <c r="C99" s="221">
        <v>47.384967555000735</v>
      </c>
      <c r="D99" s="221">
        <v>25.910326049029329</v>
      </c>
      <c r="E99" s="221">
        <f t="shared" si="6"/>
        <v>25.910326049029329</v>
      </c>
      <c r="F99" s="188" t="str">
        <f t="shared" si="2"/>
        <v/>
      </c>
      <c r="G99" t="str">
        <f t="shared" si="5"/>
        <v/>
      </c>
      <c r="H99" s="188" t="str">
        <f t="shared" si="7"/>
        <v/>
      </c>
      <c r="I99" s="189"/>
    </row>
    <row r="100" spans="1:9">
      <c r="A100" s="187">
        <v>48</v>
      </c>
      <c r="B100" s="222">
        <v>45492</v>
      </c>
      <c r="C100" s="221">
        <v>32.610105791002596</v>
      </c>
      <c r="D100" s="221">
        <v>25.910326049029329</v>
      </c>
      <c r="E100" s="221">
        <f t="shared" si="6"/>
        <v>25.910326049029329</v>
      </c>
      <c r="F100" s="188" t="str">
        <f t="shared" si="2"/>
        <v/>
      </c>
      <c r="G100" t="str">
        <f t="shared" si="5"/>
        <v/>
      </c>
      <c r="H100" s="188" t="str">
        <f t="shared" si="7"/>
        <v/>
      </c>
      <c r="I100" s="189"/>
    </row>
    <row r="101" spans="1:9">
      <c r="A101" s="187">
        <v>49</v>
      </c>
      <c r="B101" s="222">
        <v>45493</v>
      </c>
      <c r="C101" s="221">
        <v>2.8838368070007419</v>
      </c>
      <c r="D101" s="221">
        <v>25.910326049029329</v>
      </c>
      <c r="E101" s="221">
        <f t="shared" si="6"/>
        <v>2.8838368070007419</v>
      </c>
      <c r="F101" s="188" t="str">
        <f t="shared" si="2"/>
        <v/>
      </c>
      <c r="G101" t="str">
        <f t="shared" si="5"/>
        <v/>
      </c>
      <c r="H101" s="188" t="str">
        <f t="shared" si="7"/>
        <v/>
      </c>
      <c r="I101" s="189"/>
    </row>
    <row r="102" spans="1:9">
      <c r="A102" s="187">
        <v>50</v>
      </c>
      <c r="B102" s="222">
        <v>45494</v>
      </c>
      <c r="C102" s="221">
        <v>2.773625599002604</v>
      </c>
      <c r="D102" s="221">
        <v>25.910326049029329</v>
      </c>
      <c r="E102" s="221">
        <f t="shared" si="6"/>
        <v>2.773625599002604</v>
      </c>
      <c r="F102" s="188" t="str">
        <f t="shared" si="2"/>
        <v/>
      </c>
      <c r="G102" t="str">
        <f t="shared" si="5"/>
        <v/>
      </c>
      <c r="H102" s="188" t="str">
        <f t="shared" si="7"/>
        <v/>
      </c>
      <c r="I102" s="189"/>
    </row>
    <row r="103" spans="1:9">
      <c r="A103" s="187">
        <v>51</v>
      </c>
      <c r="B103" s="222">
        <v>45495</v>
      </c>
      <c r="C103" s="221">
        <v>2.6918520630007405</v>
      </c>
      <c r="D103" s="221">
        <v>25.910326049029329</v>
      </c>
      <c r="E103" s="221">
        <f t="shared" si="6"/>
        <v>2.6918520630007405</v>
      </c>
      <c r="F103" s="188" t="str">
        <f t="shared" si="2"/>
        <v/>
      </c>
      <c r="G103" t="str">
        <f t="shared" si="5"/>
        <v/>
      </c>
      <c r="H103" s="188" t="str">
        <f t="shared" si="7"/>
        <v/>
      </c>
      <c r="I103" s="189"/>
    </row>
    <row r="104" spans="1:9">
      <c r="A104" s="187">
        <v>52</v>
      </c>
      <c r="B104" s="222">
        <v>45496</v>
      </c>
      <c r="C104" s="221">
        <v>4.8173808750007447</v>
      </c>
      <c r="D104" s="221">
        <v>25.910326049029329</v>
      </c>
      <c r="E104" s="221">
        <f t="shared" si="6"/>
        <v>4.8173808750007447</v>
      </c>
      <c r="F104" s="188" t="str">
        <f t="shared" si="2"/>
        <v/>
      </c>
      <c r="G104" t="str">
        <f t="shared" si="5"/>
        <v/>
      </c>
      <c r="H104" s="188" t="str">
        <f t="shared" si="7"/>
        <v/>
      </c>
      <c r="I104" s="189"/>
    </row>
    <row r="105" spans="1:9">
      <c r="A105" s="187">
        <v>53</v>
      </c>
      <c r="B105" s="222">
        <v>45497</v>
      </c>
      <c r="C105" s="221">
        <v>28.556996525535084</v>
      </c>
      <c r="D105" s="221">
        <v>25.910326049029329</v>
      </c>
      <c r="E105" s="221">
        <f t="shared" si="6"/>
        <v>25.910326049029329</v>
      </c>
      <c r="F105" s="188" t="str">
        <f t="shared" si="2"/>
        <v/>
      </c>
      <c r="G105" t="str">
        <f t="shared" si="5"/>
        <v/>
      </c>
      <c r="H105" s="188" t="str">
        <f t="shared" si="7"/>
        <v/>
      </c>
      <c r="I105" s="189"/>
    </row>
    <row r="106" spans="1:9">
      <c r="A106" s="187">
        <v>54</v>
      </c>
      <c r="B106" s="222">
        <v>45498</v>
      </c>
      <c r="C106" s="221">
        <v>14.895582087538802</v>
      </c>
      <c r="D106" s="221">
        <v>25.910326049029329</v>
      </c>
      <c r="E106" s="221">
        <f t="shared" si="6"/>
        <v>14.895582087538802</v>
      </c>
      <c r="F106" s="188" t="str">
        <f t="shared" si="2"/>
        <v/>
      </c>
      <c r="G106" t="str">
        <f t="shared" si="5"/>
        <v/>
      </c>
      <c r="H106" s="188" t="str">
        <f t="shared" si="7"/>
        <v/>
      </c>
      <c r="I106" s="189"/>
    </row>
    <row r="107" spans="1:9">
      <c r="A107" s="187">
        <v>55</v>
      </c>
      <c r="B107" s="222">
        <v>45499</v>
      </c>
      <c r="C107" s="221">
        <v>13.942140612535077</v>
      </c>
      <c r="D107" s="221">
        <v>25.910326049029329</v>
      </c>
      <c r="E107" s="221">
        <f t="shared" si="6"/>
        <v>13.942140612535077</v>
      </c>
      <c r="F107" s="188" t="str">
        <f t="shared" si="2"/>
        <v/>
      </c>
      <c r="G107" t="str">
        <f t="shared" si="5"/>
        <v/>
      </c>
      <c r="H107" s="188" t="str">
        <f t="shared" si="7"/>
        <v/>
      </c>
      <c r="I107" s="189"/>
    </row>
    <row r="108" spans="1:9">
      <c r="A108" s="187">
        <v>56</v>
      </c>
      <c r="B108" s="222">
        <v>45500</v>
      </c>
      <c r="C108" s="221">
        <v>8.5909319685369407</v>
      </c>
      <c r="D108" s="221">
        <v>25.910326049029329</v>
      </c>
      <c r="E108" s="221">
        <f t="shared" si="6"/>
        <v>8.5909319685369407</v>
      </c>
      <c r="F108" s="188" t="str">
        <f t="shared" si="2"/>
        <v/>
      </c>
      <c r="G108" t="str">
        <f t="shared" si="5"/>
        <v/>
      </c>
      <c r="H108" s="188" t="str">
        <f t="shared" si="7"/>
        <v/>
      </c>
      <c r="I108" s="189"/>
    </row>
    <row r="109" spans="1:9">
      <c r="A109" s="187">
        <v>57</v>
      </c>
      <c r="B109" s="222">
        <v>45501</v>
      </c>
      <c r="C109" s="221">
        <v>2.8758978345369397</v>
      </c>
      <c r="D109" s="221">
        <v>25.910326049029329</v>
      </c>
      <c r="E109" s="221">
        <f t="shared" si="6"/>
        <v>2.8758978345369397</v>
      </c>
      <c r="F109" s="188" t="str">
        <f t="shared" si="2"/>
        <v/>
      </c>
      <c r="G109" t="str">
        <f t="shared" si="5"/>
        <v/>
      </c>
      <c r="H109" s="188" t="str">
        <f t="shared" si="7"/>
        <v/>
      </c>
      <c r="I109" s="189"/>
    </row>
    <row r="110" spans="1:9">
      <c r="A110" s="187">
        <v>58</v>
      </c>
      <c r="B110" s="222">
        <v>45502</v>
      </c>
      <c r="C110" s="221">
        <v>19.15130785353508</v>
      </c>
      <c r="D110" s="221">
        <v>25.910326049029329</v>
      </c>
      <c r="E110" s="221">
        <f t="shared" si="6"/>
        <v>19.15130785353508</v>
      </c>
      <c r="F110" s="188" t="str">
        <f t="shared" si="2"/>
        <v/>
      </c>
      <c r="G110" t="str">
        <f t="shared" si="5"/>
        <v/>
      </c>
      <c r="H110" s="188" t="str">
        <f t="shared" si="7"/>
        <v/>
      </c>
      <c r="I110" s="189"/>
    </row>
    <row r="111" spans="1:9">
      <c r="A111" s="187">
        <v>59</v>
      </c>
      <c r="B111" s="222">
        <v>45503</v>
      </c>
      <c r="C111" s="221">
        <v>16.346622300538801</v>
      </c>
      <c r="D111" s="221">
        <v>25.910326049029329</v>
      </c>
      <c r="E111" s="221">
        <f t="shared" si="6"/>
        <v>16.346622300538801</v>
      </c>
      <c r="F111" s="188" t="str">
        <f t="shared" si="2"/>
        <v/>
      </c>
      <c r="G111" t="str">
        <f t="shared" si="5"/>
        <v/>
      </c>
      <c r="H111" s="188" t="str">
        <f t="shared" si="7"/>
        <v/>
      </c>
      <c r="I111" s="189"/>
    </row>
    <row r="112" spans="1:9">
      <c r="A112" s="187">
        <v>60</v>
      </c>
      <c r="B112" s="222">
        <v>45504</v>
      </c>
      <c r="C112" s="221">
        <v>24.35939520223344</v>
      </c>
      <c r="D112" s="221">
        <v>25.910326049029329</v>
      </c>
      <c r="E112" s="221">
        <f t="shared" si="6"/>
        <v>24.35939520223344</v>
      </c>
      <c r="F112" s="188" t="str">
        <f t="shared" si="2"/>
        <v/>
      </c>
      <c r="G112" t="str">
        <f t="shared" si="5"/>
        <v/>
      </c>
      <c r="H112" s="188" t="str">
        <f t="shared" si="7"/>
        <v/>
      </c>
      <c r="I112" s="189"/>
    </row>
    <row r="113" spans="1:9">
      <c r="A113" s="187">
        <v>61</v>
      </c>
      <c r="B113" s="222">
        <v>45505</v>
      </c>
      <c r="C113" s="221">
        <v>3.2914033582334379</v>
      </c>
      <c r="D113" s="221">
        <v>15.363630405709555</v>
      </c>
      <c r="E113" s="221">
        <f t="shared" si="6"/>
        <v>3.2914033582334379</v>
      </c>
      <c r="F113" s="188">
        <f t="shared" si="2"/>
        <v>600</v>
      </c>
      <c r="G113" t="str">
        <f t="shared" si="5"/>
        <v/>
      </c>
      <c r="H113" s="188" t="str">
        <f t="shared" si="7"/>
        <v/>
      </c>
      <c r="I113" s="189"/>
    </row>
    <row r="114" spans="1:9">
      <c r="A114" s="187">
        <v>62</v>
      </c>
      <c r="B114" s="222">
        <v>45506</v>
      </c>
      <c r="C114" s="221">
        <v>1.8560847702352985</v>
      </c>
      <c r="D114" s="221">
        <v>15.363630405709555</v>
      </c>
      <c r="E114" s="221">
        <f t="shared" si="6"/>
        <v>1.8560847702352985</v>
      </c>
      <c r="F114" s="188" t="str">
        <f t="shared" si="2"/>
        <v/>
      </c>
      <c r="G114" t="str">
        <f t="shared" si="5"/>
        <v/>
      </c>
      <c r="H114" s="188" t="str">
        <f t="shared" si="7"/>
        <v/>
      </c>
      <c r="I114" s="189"/>
    </row>
    <row r="115" spans="1:9">
      <c r="A115" s="187">
        <v>63</v>
      </c>
      <c r="B115" s="222">
        <v>45507</v>
      </c>
      <c r="C115" s="221">
        <v>3.1090699312334329</v>
      </c>
      <c r="D115" s="221">
        <v>15.363630405709555</v>
      </c>
      <c r="E115" s="221">
        <f t="shared" si="6"/>
        <v>3.1090699312334329</v>
      </c>
      <c r="F115" s="188" t="str">
        <f t="shared" si="2"/>
        <v/>
      </c>
      <c r="G115" t="str">
        <f t="shared" si="5"/>
        <v/>
      </c>
      <c r="H115" s="188" t="str">
        <f t="shared" si="7"/>
        <v/>
      </c>
      <c r="I115" s="189"/>
    </row>
    <row r="116" spans="1:9">
      <c r="A116" s="187">
        <v>64</v>
      </c>
      <c r="B116" s="222">
        <v>45508</v>
      </c>
      <c r="C116" s="221">
        <v>2.4807760832334314</v>
      </c>
      <c r="D116" s="221">
        <v>15.363630405709555</v>
      </c>
      <c r="E116" s="221">
        <f t="shared" ref="E116:E179" si="8">IF(C116&lt;D116,C116,D116)</f>
        <v>2.4807760832334314</v>
      </c>
      <c r="F116" s="188" t="str">
        <f t="shared" ref="F116:F179" si="9">IF(DAY(B116)=1,600,"")</f>
        <v/>
      </c>
      <c r="G116" t="str">
        <f t="shared" si="5"/>
        <v/>
      </c>
      <c r="H116" s="188" t="str">
        <f t="shared" si="7"/>
        <v/>
      </c>
      <c r="I116" s="189"/>
    </row>
    <row r="117" spans="1:9">
      <c r="A117" s="187">
        <v>65</v>
      </c>
      <c r="B117" s="222">
        <v>45509</v>
      </c>
      <c r="C117" s="221">
        <v>3.27927523323716</v>
      </c>
      <c r="D117" s="221">
        <v>15.363630405709555</v>
      </c>
      <c r="E117" s="221">
        <f t="shared" si="8"/>
        <v>3.27927523323716</v>
      </c>
      <c r="F117" s="188" t="str">
        <f t="shared" si="9"/>
        <v/>
      </c>
      <c r="G117" t="str">
        <f t="shared" si="5"/>
        <v/>
      </c>
      <c r="H117" s="188" t="str">
        <f t="shared" si="7"/>
        <v/>
      </c>
      <c r="I117" s="189"/>
    </row>
    <row r="118" spans="1:9">
      <c r="A118" s="187">
        <v>66</v>
      </c>
      <c r="B118" s="222">
        <v>45510</v>
      </c>
      <c r="C118" s="221">
        <v>3.0810359062334318</v>
      </c>
      <c r="D118" s="221">
        <v>15.363630405709555</v>
      </c>
      <c r="E118" s="221">
        <f t="shared" si="8"/>
        <v>3.0810359062334318</v>
      </c>
      <c r="F118" s="188" t="str">
        <f t="shared" si="9"/>
        <v/>
      </c>
      <c r="G118" t="str">
        <f t="shared" ref="G118:G181" si="10">IF(MONTH(B118)=1,IF(DAY(B118)=1,YEAR(B118),""),"")</f>
        <v/>
      </c>
      <c r="H118" s="188" t="str">
        <f t="shared" si="7"/>
        <v/>
      </c>
      <c r="I118" s="189"/>
    </row>
    <row r="119" spans="1:9">
      <c r="A119" s="187">
        <v>67</v>
      </c>
      <c r="B119" s="222">
        <v>45511</v>
      </c>
      <c r="C119" s="221">
        <v>3.19426276293696</v>
      </c>
      <c r="D119" s="221">
        <v>15.363630405709555</v>
      </c>
      <c r="E119" s="221">
        <f t="shared" si="8"/>
        <v>3.19426276293696</v>
      </c>
      <c r="F119" s="188" t="str">
        <f t="shared" si="9"/>
        <v/>
      </c>
      <c r="G119" t="str">
        <f t="shared" si="10"/>
        <v/>
      </c>
      <c r="H119" s="188" t="str">
        <f t="shared" si="7"/>
        <v/>
      </c>
      <c r="I119" s="189"/>
    </row>
    <row r="120" spans="1:9">
      <c r="A120" s="187">
        <v>68</v>
      </c>
      <c r="B120" s="222">
        <v>45512</v>
      </c>
      <c r="C120" s="221">
        <v>3.3697791099406897</v>
      </c>
      <c r="D120" s="221">
        <v>15.363630405709555</v>
      </c>
      <c r="E120" s="221">
        <f t="shared" si="8"/>
        <v>3.3697791099406897</v>
      </c>
      <c r="F120" s="188" t="str">
        <f t="shared" si="9"/>
        <v/>
      </c>
      <c r="G120" t="str">
        <f t="shared" si="10"/>
        <v/>
      </c>
      <c r="H120" s="188" t="str">
        <f t="shared" si="7"/>
        <v/>
      </c>
      <c r="I120" s="189"/>
    </row>
    <row r="121" spans="1:9">
      <c r="A121" s="187">
        <v>69</v>
      </c>
      <c r="B121" s="222">
        <v>45513</v>
      </c>
      <c r="C121" s="221">
        <v>3.9030743759388278</v>
      </c>
      <c r="D121" s="221">
        <v>15.363630405709555</v>
      </c>
      <c r="E121" s="221">
        <f t="shared" si="8"/>
        <v>3.9030743759388278</v>
      </c>
      <c r="F121" s="188" t="str">
        <f t="shared" si="9"/>
        <v/>
      </c>
      <c r="G121" t="str">
        <f t="shared" si="10"/>
        <v/>
      </c>
      <c r="H121" s="188" t="str">
        <f t="shared" si="7"/>
        <v/>
      </c>
      <c r="I121" s="189"/>
    </row>
    <row r="122" spans="1:9">
      <c r="A122" s="187">
        <v>70</v>
      </c>
      <c r="B122" s="222">
        <v>45514</v>
      </c>
      <c r="C122" s="221">
        <v>2.8245451479388213</v>
      </c>
      <c r="D122" s="221">
        <v>15.363630405709555</v>
      </c>
      <c r="E122" s="221">
        <f t="shared" si="8"/>
        <v>2.8245451479388213</v>
      </c>
      <c r="F122" s="188" t="str">
        <f t="shared" si="9"/>
        <v/>
      </c>
      <c r="G122" t="str">
        <f t="shared" si="10"/>
        <v/>
      </c>
      <c r="H122" s="188" t="str">
        <f t="shared" si="7"/>
        <v/>
      </c>
      <c r="I122" s="189"/>
    </row>
    <row r="123" spans="1:9">
      <c r="A123" s="187">
        <v>71</v>
      </c>
      <c r="B123" s="222">
        <v>45515</v>
      </c>
      <c r="C123" s="221">
        <v>3.2445350539369611</v>
      </c>
      <c r="D123" s="221">
        <v>15.363630405709555</v>
      </c>
      <c r="E123" s="221">
        <f t="shared" si="8"/>
        <v>3.2445350539369611</v>
      </c>
      <c r="F123" s="188" t="str">
        <f t="shared" si="9"/>
        <v/>
      </c>
      <c r="G123" t="str">
        <f t="shared" si="10"/>
        <v/>
      </c>
      <c r="H123" s="188" t="str">
        <f t="shared" si="7"/>
        <v/>
      </c>
      <c r="I123" s="189"/>
    </row>
    <row r="124" spans="1:9">
      <c r="A124" s="187">
        <v>72</v>
      </c>
      <c r="B124" s="222">
        <v>45516</v>
      </c>
      <c r="C124" s="221">
        <v>2.3591191749406861</v>
      </c>
      <c r="D124" s="221">
        <v>15.363630405709555</v>
      </c>
      <c r="E124" s="221">
        <f t="shared" si="8"/>
        <v>2.3591191749406861</v>
      </c>
      <c r="F124" s="188" t="str">
        <f t="shared" si="9"/>
        <v/>
      </c>
      <c r="G124" t="str">
        <f t="shared" si="10"/>
        <v/>
      </c>
      <c r="H124" s="188" t="str">
        <f t="shared" si="7"/>
        <v/>
      </c>
      <c r="I124" s="189"/>
    </row>
    <row r="125" spans="1:9">
      <c r="A125" s="187">
        <v>73</v>
      </c>
      <c r="B125" s="222">
        <v>45517</v>
      </c>
      <c r="C125" s="221">
        <v>6.1163461269388204</v>
      </c>
      <c r="D125" s="221">
        <v>15.363630405709555</v>
      </c>
      <c r="E125" s="221">
        <f t="shared" si="8"/>
        <v>6.1163461269388204</v>
      </c>
      <c r="F125" s="188" t="str">
        <f t="shared" si="9"/>
        <v/>
      </c>
      <c r="G125" t="str">
        <f t="shared" si="10"/>
        <v/>
      </c>
      <c r="H125" s="188" t="str">
        <f t="shared" si="7"/>
        <v/>
      </c>
      <c r="I125" s="189"/>
    </row>
    <row r="126" spans="1:9">
      <c r="A126" s="187">
        <v>74</v>
      </c>
      <c r="B126" s="222">
        <v>45518</v>
      </c>
      <c r="C126" s="221">
        <v>11.974662251003625</v>
      </c>
      <c r="D126" s="221">
        <v>15.363630405709555</v>
      </c>
      <c r="E126" s="221">
        <f t="shared" si="8"/>
        <v>11.974662251003625</v>
      </c>
      <c r="F126" s="188" t="str">
        <f t="shared" si="9"/>
        <v/>
      </c>
      <c r="G126" t="str">
        <f t="shared" si="10"/>
        <v/>
      </c>
      <c r="H126" s="188" t="str">
        <f t="shared" si="7"/>
        <v/>
      </c>
      <c r="I126" s="189"/>
    </row>
    <row r="127" spans="1:9">
      <c r="A127" s="187">
        <v>75</v>
      </c>
      <c r="B127" s="222">
        <v>45519</v>
      </c>
      <c r="C127" s="221">
        <v>2.313891444005487</v>
      </c>
      <c r="D127" s="221">
        <v>15.363630405709555</v>
      </c>
      <c r="E127" s="221">
        <f t="shared" si="8"/>
        <v>2.313891444005487</v>
      </c>
      <c r="F127" s="188" t="str">
        <f t="shared" si="9"/>
        <v/>
      </c>
      <c r="G127" t="str">
        <f t="shared" si="10"/>
        <v/>
      </c>
      <c r="H127" s="188" t="str">
        <f>IF(DAY(B127)=15,IF(MONTH(B127)=1,"E",IF(MONTH(B127)=2,"F",IF(MONTH(B127)=3,"M",IF(MONTH(B127)=4,"A",IF(MONTH(B127)=5,"M",IF(MONTH(B127)=6,"J",IF(MONTH(B127)=7,"J",IF(MONTH(B127)=8,"A",IF(MONTH(B127)=9,"S",IF(MONTH(B127)=10,"O",IF(MONTH(B127)=11,"N",IF(MONTH(B127)=12,"D","")))))))))))),"")</f>
        <v>A</v>
      </c>
      <c r="I127" s="189">
        <f>IF(DAY(B127)=15,D127,"")</f>
        <v>15.363630405709555</v>
      </c>
    </row>
    <row r="128" spans="1:9">
      <c r="A128" s="187">
        <v>76</v>
      </c>
      <c r="B128" s="222">
        <v>45520</v>
      </c>
      <c r="C128" s="221">
        <v>2.7889215240073537</v>
      </c>
      <c r="D128" s="221">
        <v>15.363630405709555</v>
      </c>
      <c r="E128" s="221">
        <f t="shared" si="8"/>
        <v>2.7889215240073537</v>
      </c>
      <c r="F128" s="188" t="str">
        <f t="shared" si="9"/>
        <v/>
      </c>
      <c r="G128" t="str">
        <f t="shared" si="10"/>
        <v/>
      </c>
      <c r="H128" s="188" t="str">
        <f>IF(DAY(B128)=15,IF(MONTH(B128)=1,"E",IF(MONTH(B128)=2,"F",IF(MONTH(B128)=3,"M",IF(MONTH(B128)=4,"A",IF(MONTH(B128)=5,"M",IF(MONTH(B128)=6,"J",IF(MONTH(B128)=7,"J",IF(MONTH(B128)=8,"A",IF(MONTH(B128)=9,"S",IF(MONTH(B128)=10,"O",IF(MONTH(B128)=11,"N",IF(MONTH(B128)=12,"D","")))))))))))),"")</f>
        <v/>
      </c>
      <c r="I128" s="189"/>
    </row>
    <row r="129" spans="1:9">
      <c r="A129" s="187">
        <v>77</v>
      </c>
      <c r="B129" s="222">
        <v>45521</v>
      </c>
      <c r="C129" s="221">
        <v>3.6637183840073484</v>
      </c>
      <c r="D129" s="221">
        <v>15.363630405709555</v>
      </c>
      <c r="E129" s="221">
        <f t="shared" si="8"/>
        <v>3.6637183840073484</v>
      </c>
      <c r="F129" s="188" t="str">
        <f t="shared" si="9"/>
        <v/>
      </c>
      <c r="G129" t="str">
        <f t="shared" si="10"/>
        <v/>
      </c>
      <c r="H129" s="188" t="str">
        <f t="shared" si="7"/>
        <v/>
      </c>
      <c r="I129" s="189"/>
    </row>
    <row r="130" spans="1:9">
      <c r="A130" s="187">
        <v>78</v>
      </c>
      <c r="B130" s="222">
        <v>45522</v>
      </c>
      <c r="C130" s="221">
        <v>3.1426225090036239</v>
      </c>
      <c r="D130" s="221">
        <v>15.363630405709555</v>
      </c>
      <c r="E130" s="221">
        <f t="shared" si="8"/>
        <v>3.1426225090036239</v>
      </c>
      <c r="F130" s="188" t="str">
        <f t="shared" si="9"/>
        <v/>
      </c>
      <c r="G130" t="str">
        <f t="shared" si="10"/>
        <v/>
      </c>
      <c r="H130" s="188" t="str">
        <f t="shared" si="7"/>
        <v/>
      </c>
      <c r="I130" s="189"/>
    </row>
    <row r="131" spans="1:9">
      <c r="A131" s="187">
        <v>79</v>
      </c>
      <c r="B131" s="222">
        <v>45523</v>
      </c>
      <c r="C131" s="221">
        <v>2.7647522880036268</v>
      </c>
      <c r="D131" s="221">
        <v>15.363630405709555</v>
      </c>
      <c r="E131" s="221">
        <f t="shared" si="8"/>
        <v>2.7647522880036268</v>
      </c>
      <c r="F131" s="188" t="str">
        <f t="shared" si="9"/>
        <v/>
      </c>
      <c r="G131" t="str">
        <f t="shared" si="10"/>
        <v/>
      </c>
      <c r="H131" s="188" t="str">
        <f t="shared" ref="H131:H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I131" s="189"/>
    </row>
    <row r="132" spans="1:9">
      <c r="A132" s="187">
        <v>80</v>
      </c>
      <c r="B132" s="222">
        <v>45524</v>
      </c>
      <c r="C132" s="221">
        <v>8.3475346870073484</v>
      </c>
      <c r="D132" s="221">
        <v>15.363630405709555</v>
      </c>
      <c r="E132" s="221">
        <f t="shared" si="8"/>
        <v>8.3475346870073484</v>
      </c>
      <c r="F132" s="188" t="str">
        <f t="shared" si="9"/>
        <v/>
      </c>
      <c r="G132" t="str">
        <f t="shared" si="10"/>
        <v/>
      </c>
      <c r="H132" s="188" t="str">
        <f t="shared" si="11"/>
        <v/>
      </c>
      <c r="I132" s="189"/>
    </row>
    <row r="133" spans="1:9">
      <c r="A133" s="187">
        <v>81</v>
      </c>
      <c r="B133" s="222">
        <v>45525</v>
      </c>
      <c r="C133" s="221">
        <v>13.457443864621782</v>
      </c>
      <c r="D133" s="221">
        <v>15.363630405709555</v>
      </c>
      <c r="E133" s="221">
        <f t="shared" si="8"/>
        <v>13.457443864621782</v>
      </c>
      <c r="F133" s="188" t="str">
        <f t="shared" si="9"/>
        <v/>
      </c>
      <c r="G133" t="str">
        <f t="shared" si="10"/>
        <v/>
      </c>
      <c r="H133" s="188" t="str">
        <f t="shared" si="11"/>
        <v/>
      </c>
      <c r="I133" s="189"/>
    </row>
    <row r="134" spans="1:9">
      <c r="A134" s="187">
        <v>82</v>
      </c>
      <c r="B134" s="222">
        <v>45526</v>
      </c>
      <c r="C134" s="221">
        <v>17.84504337562737</v>
      </c>
      <c r="D134" s="221">
        <v>15.363630405709555</v>
      </c>
      <c r="E134" s="221">
        <f t="shared" si="8"/>
        <v>15.363630405709555</v>
      </c>
      <c r="F134" s="188" t="str">
        <f t="shared" si="9"/>
        <v/>
      </c>
      <c r="G134" t="str">
        <f t="shared" si="10"/>
        <v/>
      </c>
      <c r="H134" s="188" t="str">
        <f t="shared" si="11"/>
        <v/>
      </c>
      <c r="I134" s="189"/>
    </row>
    <row r="135" spans="1:9">
      <c r="A135" s="187">
        <v>83</v>
      </c>
      <c r="B135" s="222">
        <v>45527</v>
      </c>
      <c r="C135" s="221">
        <v>13.587899395625515</v>
      </c>
      <c r="D135" s="221">
        <v>15.363630405709555</v>
      </c>
      <c r="E135" s="221">
        <f t="shared" si="8"/>
        <v>13.587899395625515</v>
      </c>
      <c r="F135" s="188" t="str">
        <f t="shared" si="9"/>
        <v/>
      </c>
      <c r="G135" t="str">
        <f t="shared" si="10"/>
        <v/>
      </c>
      <c r="H135" s="188" t="str">
        <f t="shared" si="11"/>
        <v/>
      </c>
      <c r="I135" s="189"/>
    </row>
    <row r="136" spans="1:9">
      <c r="A136" s="187">
        <v>84</v>
      </c>
      <c r="B136" s="222">
        <v>45528</v>
      </c>
      <c r="C136" s="221">
        <v>3.139176939625504</v>
      </c>
      <c r="D136" s="221">
        <v>15.363630405709555</v>
      </c>
      <c r="E136" s="221">
        <f t="shared" si="8"/>
        <v>3.139176939625504</v>
      </c>
      <c r="F136" s="188" t="str">
        <f t="shared" si="9"/>
        <v/>
      </c>
      <c r="G136" t="str">
        <f t="shared" si="10"/>
        <v/>
      </c>
      <c r="H136" s="188" t="str">
        <f t="shared" si="11"/>
        <v/>
      </c>
      <c r="I136" s="189"/>
    </row>
    <row r="137" spans="1:9">
      <c r="A137" s="187">
        <v>85</v>
      </c>
      <c r="B137" s="222">
        <v>45529</v>
      </c>
      <c r="C137" s="221">
        <v>3.6239849436255063</v>
      </c>
      <c r="D137" s="221">
        <v>15.363630405709555</v>
      </c>
      <c r="E137" s="221">
        <f t="shared" si="8"/>
        <v>3.6239849436255063</v>
      </c>
      <c r="F137" s="188" t="str">
        <f t="shared" si="9"/>
        <v/>
      </c>
      <c r="G137" t="str">
        <f t="shared" si="10"/>
        <v/>
      </c>
      <c r="H137" s="188" t="str">
        <f t="shared" si="11"/>
        <v/>
      </c>
      <c r="I137" s="189"/>
    </row>
    <row r="138" spans="1:9">
      <c r="A138" s="187">
        <v>86</v>
      </c>
      <c r="B138" s="222">
        <v>45530</v>
      </c>
      <c r="C138" s="221">
        <v>18.695398971623646</v>
      </c>
      <c r="D138" s="221">
        <v>15.363630405709555</v>
      </c>
      <c r="E138" s="221">
        <f t="shared" si="8"/>
        <v>15.363630405709555</v>
      </c>
      <c r="F138" s="188" t="str">
        <f t="shared" si="9"/>
        <v/>
      </c>
      <c r="G138" t="str">
        <f t="shared" si="10"/>
        <v/>
      </c>
      <c r="H138" s="188" t="str">
        <f t="shared" si="11"/>
        <v/>
      </c>
      <c r="I138" s="189"/>
    </row>
    <row r="139" spans="1:9">
      <c r="A139" s="187">
        <v>87</v>
      </c>
      <c r="B139" s="222">
        <v>45531</v>
      </c>
      <c r="C139" s="221">
        <v>19.764271587625508</v>
      </c>
      <c r="D139" s="221">
        <v>15.363630405709555</v>
      </c>
      <c r="E139" s="221">
        <f t="shared" si="8"/>
        <v>15.363630405709555</v>
      </c>
      <c r="F139" s="188" t="str">
        <f t="shared" si="9"/>
        <v/>
      </c>
      <c r="G139" t="str">
        <f t="shared" si="10"/>
        <v/>
      </c>
      <c r="H139" s="188" t="str">
        <f t="shared" si="11"/>
        <v/>
      </c>
      <c r="I139" s="189"/>
    </row>
    <row r="140" spans="1:9">
      <c r="A140" s="187">
        <v>88</v>
      </c>
      <c r="B140" s="222">
        <v>45532</v>
      </c>
      <c r="C140" s="221">
        <v>25.071713284847881</v>
      </c>
      <c r="D140" s="221">
        <v>15.363630405709555</v>
      </c>
      <c r="E140" s="221">
        <f t="shared" si="8"/>
        <v>15.363630405709555</v>
      </c>
      <c r="F140" s="188" t="str">
        <f t="shared" si="9"/>
        <v/>
      </c>
      <c r="G140" t="str">
        <f t="shared" si="10"/>
        <v/>
      </c>
      <c r="H140" s="188" t="str">
        <f t="shared" si="11"/>
        <v/>
      </c>
      <c r="I140" s="189"/>
    </row>
    <row r="141" spans="1:9">
      <c r="A141" s="187">
        <v>89</v>
      </c>
      <c r="B141" s="222">
        <v>45533</v>
      </c>
      <c r="C141" s="221">
        <v>17.686682008849747</v>
      </c>
      <c r="D141" s="221">
        <v>15.363630405709555</v>
      </c>
      <c r="E141" s="221">
        <f t="shared" si="8"/>
        <v>15.363630405709555</v>
      </c>
      <c r="F141" s="188" t="str">
        <f t="shared" si="9"/>
        <v/>
      </c>
      <c r="G141" t="str">
        <f t="shared" si="10"/>
        <v/>
      </c>
      <c r="H141" s="188" t="str">
        <f t="shared" si="11"/>
        <v/>
      </c>
      <c r="I141" s="189"/>
    </row>
    <row r="142" spans="1:9">
      <c r="A142" s="187">
        <v>90</v>
      </c>
      <c r="B142" s="222">
        <v>45534</v>
      </c>
      <c r="C142" s="221">
        <v>20.918469743849744</v>
      </c>
      <c r="D142" s="221">
        <v>15.363630405709555</v>
      </c>
      <c r="E142" s="221">
        <f t="shared" si="8"/>
        <v>15.363630405709555</v>
      </c>
      <c r="F142" s="188" t="str">
        <f t="shared" si="9"/>
        <v/>
      </c>
      <c r="G142" t="str">
        <f t="shared" si="10"/>
        <v/>
      </c>
      <c r="H142" s="188" t="str">
        <f t="shared" si="11"/>
        <v/>
      </c>
      <c r="I142" s="189"/>
    </row>
    <row r="143" spans="1:9">
      <c r="A143" s="187">
        <v>91</v>
      </c>
      <c r="B143" s="222">
        <v>45535</v>
      </c>
      <c r="C143" s="221">
        <v>2.742251960849746</v>
      </c>
      <c r="D143" s="221">
        <v>15.363630405709555</v>
      </c>
      <c r="E143" s="221">
        <f t="shared" si="8"/>
        <v>2.742251960849746</v>
      </c>
      <c r="F143" s="188" t="str">
        <f t="shared" si="9"/>
        <v/>
      </c>
      <c r="G143" t="str">
        <f t="shared" si="10"/>
        <v/>
      </c>
      <c r="H143" s="188" t="str">
        <f t="shared" si="11"/>
        <v/>
      </c>
      <c r="I143" s="189"/>
    </row>
    <row r="144" spans="1:9">
      <c r="A144" s="187">
        <v>92</v>
      </c>
      <c r="B144" s="222">
        <v>45536</v>
      </c>
      <c r="C144" s="221">
        <v>3.3861522168516096</v>
      </c>
      <c r="D144" s="221">
        <v>19.885734840413747</v>
      </c>
      <c r="E144" s="221">
        <f t="shared" si="8"/>
        <v>3.3861522168516096</v>
      </c>
      <c r="F144" s="188">
        <f t="shared" si="9"/>
        <v>600</v>
      </c>
      <c r="G144" t="str">
        <f t="shared" si="10"/>
        <v/>
      </c>
      <c r="H144" s="188" t="str">
        <f t="shared" si="11"/>
        <v/>
      </c>
      <c r="I144" s="189"/>
    </row>
    <row r="145" spans="1:9">
      <c r="A145" s="187">
        <v>93</v>
      </c>
      <c r="B145" s="222">
        <v>45537</v>
      </c>
      <c r="C145" s="221">
        <v>3.4677666688497486</v>
      </c>
      <c r="D145" s="221">
        <v>19.885734840413747</v>
      </c>
      <c r="E145" s="221">
        <f t="shared" si="8"/>
        <v>3.4677666688497486</v>
      </c>
      <c r="F145" s="188" t="str">
        <f t="shared" si="9"/>
        <v/>
      </c>
      <c r="G145" t="str">
        <f t="shared" si="10"/>
        <v/>
      </c>
      <c r="H145" s="188" t="str">
        <f t="shared" si="11"/>
        <v/>
      </c>
      <c r="I145" s="189"/>
    </row>
    <row r="146" spans="1:9">
      <c r="A146" s="187">
        <v>94</v>
      </c>
      <c r="B146" s="222">
        <v>45538</v>
      </c>
      <c r="C146" s="221">
        <v>2.9788258928478828</v>
      </c>
      <c r="D146" s="221">
        <v>19.885734840413747</v>
      </c>
      <c r="E146" s="221">
        <f t="shared" si="8"/>
        <v>2.9788258928478828</v>
      </c>
      <c r="F146" s="188" t="str">
        <f t="shared" si="9"/>
        <v/>
      </c>
      <c r="G146" t="str">
        <f t="shared" si="10"/>
        <v/>
      </c>
      <c r="H146" s="188" t="str">
        <f t="shared" si="11"/>
        <v/>
      </c>
      <c r="I146" s="189"/>
    </row>
    <row r="147" spans="1:9">
      <c r="A147" s="187">
        <v>95</v>
      </c>
      <c r="B147" s="222">
        <v>45539</v>
      </c>
      <c r="C147" s="221">
        <v>13.350197940835489</v>
      </c>
      <c r="D147" s="221">
        <v>19.885734840413747</v>
      </c>
      <c r="E147" s="221">
        <f t="shared" si="8"/>
        <v>13.350197940835489</v>
      </c>
      <c r="F147" s="188" t="str">
        <f t="shared" si="9"/>
        <v/>
      </c>
      <c r="G147" t="str">
        <f t="shared" si="10"/>
        <v/>
      </c>
      <c r="H147" s="188" t="str">
        <f t="shared" si="11"/>
        <v/>
      </c>
      <c r="I147" s="189"/>
    </row>
    <row r="148" spans="1:9">
      <c r="A148" s="187">
        <v>96</v>
      </c>
      <c r="B148" s="222">
        <v>45540</v>
      </c>
      <c r="C148" s="221">
        <v>44.858035183837345</v>
      </c>
      <c r="D148" s="221">
        <v>19.885734840413747</v>
      </c>
      <c r="E148" s="221">
        <f t="shared" si="8"/>
        <v>19.885734840413747</v>
      </c>
      <c r="F148" s="188" t="str">
        <f t="shared" si="9"/>
        <v/>
      </c>
      <c r="G148" t="str">
        <f t="shared" si="10"/>
        <v/>
      </c>
      <c r="H148" s="188" t="str">
        <f t="shared" si="11"/>
        <v/>
      </c>
      <c r="I148" s="189"/>
    </row>
    <row r="149" spans="1:9">
      <c r="A149" s="187">
        <v>97</v>
      </c>
      <c r="B149" s="222">
        <v>45541</v>
      </c>
      <c r="C149" s="221">
        <v>39.888847947835487</v>
      </c>
      <c r="D149" s="221">
        <v>19.885734840413747</v>
      </c>
      <c r="E149" s="221">
        <f t="shared" si="8"/>
        <v>19.885734840413747</v>
      </c>
      <c r="F149" s="188" t="str">
        <f t="shared" si="9"/>
        <v/>
      </c>
      <c r="G149" t="str">
        <f t="shared" si="10"/>
        <v/>
      </c>
      <c r="H149" s="188" t="str">
        <f t="shared" si="11"/>
        <v/>
      </c>
      <c r="I149" s="189"/>
    </row>
    <row r="150" spans="1:9">
      <c r="A150" s="187">
        <v>98</v>
      </c>
      <c r="B150" s="222">
        <v>45542</v>
      </c>
      <c r="C150" s="221">
        <v>44.693236418833621</v>
      </c>
      <c r="D150" s="221">
        <v>19.885734840413747</v>
      </c>
      <c r="E150" s="221">
        <f t="shared" si="8"/>
        <v>19.885734840413747</v>
      </c>
      <c r="F150" s="188" t="str">
        <f t="shared" si="9"/>
        <v/>
      </c>
      <c r="G150" t="str">
        <f t="shared" si="10"/>
        <v/>
      </c>
      <c r="H150" s="188" t="str">
        <f t="shared" si="11"/>
        <v/>
      </c>
      <c r="I150" s="189"/>
    </row>
    <row r="151" spans="1:9">
      <c r="A151" s="187">
        <v>99</v>
      </c>
      <c r="B151" s="222">
        <v>45543</v>
      </c>
      <c r="C151" s="221">
        <v>24.864796343835486</v>
      </c>
      <c r="D151" s="221">
        <v>19.885734840413747</v>
      </c>
      <c r="E151" s="221">
        <f t="shared" si="8"/>
        <v>19.885734840413747</v>
      </c>
      <c r="F151" s="188" t="str">
        <f t="shared" si="9"/>
        <v/>
      </c>
      <c r="G151" t="str">
        <f t="shared" si="10"/>
        <v/>
      </c>
      <c r="H151" s="188" t="str">
        <f t="shared" si="11"/>
        <v/>
      </c>
      <c r="I151" s="189"/>
    </row>
    <row r="152" spans="1:9">
      <c r="A152" s="187">
        <v>100</v>
      </c>
      <c r="B152" s="222">
        <v>45544</v>
      </c>
      <c r="C152" s="221">
        <v>34.384552203833621</v>
      </c>
      <c r="D152" s="221">
        <v>19.885734840413747</v>
      </c>
      <c r="E152" s="221">
        <f t="shared" si="8"/>
        <v>19.885734840413747</v>
      </c>
      <c r="F152" s="188" t="str">
        <f t="shared" si="9"/>
        <v/>
      </c>
      <c r="G152" t="str">
        <f t="shared" si="10"/>
        <v/>
      </c>
      <c r="H152" s="188" t="str">
        <f t="shared" si="11"/>
        <v/>
      </c>
      <c r="I152" s="189"/>
    </row>
    <row r="153" spans="1:9">
      <c r="A153" s="187">
        <v>101</v>
      </c>
      <c r="B153" s="222">
        <v>45545</v>
      </c>
      <c r="C153" s="221">
        <v>31.774274239835488</v>
      </c>
      <c r="D153" s="221">
        <v>19.885734840413747</v>
      </c>
      <c r="E153" s="221">
        <f t="shared" si="8"/>
        <v>19.885734840413747</v>
      </c>
      <c r="F153" s="188" t="str">
        <f t="shared" si="9"/>
        <v/>
      </c>
      <c r="G153" t="str">
        <f t="shared" si="10"/>
        <v/>
      </c>
      <c r="H153" s="188" t="str">
        <f t="shared" si="11"/>
        <v/>
      </c>
      <c r="I153" s="189"/>
    </row>
    <row r="154" spans="1:9">
      <c r="A154" s="187">
        <v>102</v>
      </c>
      <c r="B154" s="222">
        <v>45546</v>
      </c>
      <c r="C154" s="221">
        <v>28.271422682858041</v>
      </c>
      <c r="D154" s="221">
        <v>19.885734840413747</v>
      </c>
      <c r="E154" s="221">
        <f t="shared" si="8"/>
        <v>19.885734840413747</v>
      </c>
      <c r="F154" s="188" t="str">
        <f t="shared" si="9"/>
        <v/>
      </c>
      <c r="G154" t="str">
        <f t="shared" si="10"/>
        <v/>
      </c>
      <c r="H154" s="188" t="str">
        <f t="shared" si="11"/>
        <v/>
      </c>
      <c r="I154" s="189"/>
    </row>
    <row r="155" spans="1:9">
      <c r="A155" s="187">
        <v>103</v>
      </c>
      <c r="B155" s="222">
        <v>45547</v>
      </c>
      <c r="C155" s="221">
        <v>31.615490350856177</v>
      </c>
      <c r="D155" s="221">
        <v>19.885734840413747</v>
      </c>
      <c r="E155" s="221">
        <f t="shared" si="8"/>
        <v>19.885734840413747</v>
      </c>
      <c r="F155" s="188" t="str">
        <f t="shared" si="9"/>
        <v/>
      </c>
      <c r="G155" t="str">
        <f t="shared" si="10"/>
        <v/>
      </c>
      <c r="H155" s="188" t="str">
        <f>IF(DAY(B155)=15,IF(MONTH(B155)=1,"E",IF(MONTH(B155)=2,"F",IF(MONTH(B155)=3,"M",IF(MONTH(B155)=4,"A",IF(MONTH(B155)=5,"M",IF(MONTH(B155)=6,"J",IF(MONTH(B155)=7,"J",IF(MONTH(B155)=8,"A",IF(MONTH(B155)=9,"S",IF(MONTH(B155)=10,"O",IF(MONTH(B155)=11,"N",IF(MONTH(B155)=12,"D","")))))))))))),"")</f>
        <v/>
      </c>
      <c r="I155" s="189"/>
    </row>
    <row r="156" spans="1:9">
      <c r="A156" s="187">
        <v>104</v>
      </c>
      <c r="B156" s="222">
        <v>45548</v>
      </c>
      <c r="C156" s="221">
        <v>19.226709610854318</v>
      </c>
      <c r="D156" s="221">
        <v>19.885734840413747</v>
      </c>
      <c r="E156" s="221">
        <f t="shared" si="8"/>
        <v>19.226709610854318</v>
      </c>
      <c r="F156" s="188" t="str">
        <f t="shared" si="9"/>
        <v/>
      </c>
      <c r="G156" t="str">
        <f t="shared" si="10"/>
        <v/>
      </c>
      <c r="H156" s="188" t="str">
        <f t="shared" si="11"/>
        <v/>
      </c>
      <c r="I156" s="189"/>
    </row>
    <row r="157" spans="1:9">
      <c r="A157" s="187">
        <v>105</v>
      </c>
      <c r="B157" s="222">
        <v>45549</v>
      </c>
      <c r="C157" s="221">
        <v>10.20638647585618</v>
      </c>
      <c r="D157" s="221">
        <v>19.885734840413747</v>
      </c>
      <c r="E157" s="221">
        <f t="shared" si="8"/>
        <v>10.20638647585618</v>
      </c>
      <c r="F157" s="188" t="str">
        <f t="shared" si="9"/>
        <v/>
      </c>
      <c r="G157" t="str">
        <f t="shared" si="10"/>
        <v/>
      </c>
      <c r="H157" s="188" t="str">
        <f>IF(DAY(B157)=15,IF(MONTH(B157)=1,"E",IF(MONTH(B157)=2,"F",IF(MONTH(B157)=3,"M",IF(MONTH(B157)=4,"A",IF(MONTH(B157)=5,"M",IF(MONTH(B157)=6,"J",IF(MONTH(B157)=7,"J",IF(MONTH(B157)=8,"A",IF(MONTH(B157)=9,"S",IF(MONTH(B157)=10,"O",IF(MONTH(B157)=11,"N",IF(MONTH(B157)=12,"D","")))))))))))),"")</f>
        <v/>
      </c>
      <c r="I157" s="189"/>
    </row>
    <row r="158" spans="1:9">
      <c r="A158" s="187">
        <v>106</v>
      </c>
      <c r="B158" s="222">
        <v>45550</v>
      </c>
      <c r="C158" s="221">
        <v>4.7013636978543181</v>
      </c>
      <c r="D158" s="221">
        <v>19.885734840413747</v>
      </c>
      <c r="E158" s="221">
        <f t="shared" si="8"/>
        <v>4.7013636978543181</v>
      </c>
      <c r="F158" s="188" t="str">
        <f t="shared" si="9"/>
        <v/>
      </c>
      <c r="G158" t="str">
        <f t="shared" si="10"/>
        <v/>
      </c>
      <c r="H158" s="188" t="str">
        <f>IF(DAY(B158)=15,IF(MONTH(B158)=1,"E",IF(MONTH(B158)=2,"F",IF(MONTH(B158)=3,"M",IF(MONTH(B158)=4,"A",IF(MONTH(B158)=5,"M",IF(MONTH(B158)=6,"J",IF(MONTH(B158)=7,"J",IF(MONTH(B158)=8,"A",IF(MONTH(B158)=9,"S",IF(MONTH(B158)=10,"O",IF(MONTH(B158)=11,"N",IF(MONTH(B158)=12,"D","")))))))))))),"")</f>
        <v>S</v>
      </c>
      <c r="I158" s="189">
        <f>IF(DAY(B158)=15,D158,"")</f>
        <v>19.885734840413747</v>
      </c>
    </row>
    <row r="159" spans="1:9">
      <c r="A159" s="187">
        <v>107</v>
      </c>
      <c r="B159" s="222">
        <v>45551</v>
      </c>
      <c r="C159" s="221">
        <v>8.5534986828543182</v>
      </c>
      <c r="D159" s="221">
        <v>19.885734840413747</v>
      </c>
      <c r="E159" s="221">
        <f t="shared" si="8"/>
        <v>8.5534986828543182</v>
      </c>
      <c r="F159" s="188" t="str">
        <f t="shared" si="9"/>
        <v/>
      </c>
      <c r="G159" t="str">
        <f t="shared" si="10"/>
        <v/>
      </c>
      <c r="H159" s="188" t="str">
        <f t="shared" si="11"/>
        <v/>
      </c>
      <c r="I159" s="189"/>
    </row>
    <row r="160" spans="1:9">
      <c r="A160" s="187">
        <v>108</v>
      </c>
      <c r="B160" s="222">
        <v>45552</v>
      </c>
      <c r="C160" s="221">
        <v>9.7971874988580421</v>
      </c>
      <c r="D160" s="221">
        <v>19.885734840413747</v>
      </c>
      <c r="E160" s="221">
        <f t="shared" si="8"/>
        <v>9.7971874988580421</v>
      </c>
      <c r="F160" s="188" t="str">
        <f t="shared" si="9"/>
        <v/>
      </c>
      <c r="G160" t="str">
        <f t="shared" si="10"/>
        <v/>
      </c>
      <c r="H160" s="188" t="str">
        <f t="shared" si="11"/>
        <v/>
      </c>
      <c r="I160" s="189"/>
    </row>
    <row r="161" spans="1:9">
      <c r="A161" s="187">
        <v>109</v>
      </c>
      <c r="B161" s="222">
        <v>45553</v>
      </c>
      <c r="C161" s="221">
        <v>29.041916538356869</v>
      </c>
      <c r="D161" s="221">
        <v>19.885734840413747</v>
      </c>
      <c r="E161" s="221">
        <f t="shared" si="8"/>
        <v>19.885734840413747</v>
      </c>
      <c r="F161" s="188" t="str">
        <f t="shared" si="9"/>
        <v/>
      </c>
      <c r="G161" t="str">
        <f t="shared" si="10"/>
        <v/>
      </c>
      <c r="H161" s="188" t="str">
        <f t="shared" si="11"/>
        <v/>
      </c>
      <c r="I161" s="189"/>
    </row>
    <row r="162" spans="1:9">
      <c r="A162" s="187">
        <v>110</v>
      </c>
      <c r="B162" s="222">
        <v>45554</v>
      </c>
      <c r="C162" s="221">
        <v>60.274292950355012</v>
      </c>
      <c r="D162" s="221">
        <v>19.885734840413747</v>
      </c>
      <c r="E162" s="221">
        <f t="shared" si="8"/>
        <v>19.885734840413747</v>
      </c>
      <c r="F162" s="188" t="str">
        <f t="shared" si="9"/>
        <v/>
      </c>
      <c r="G162" t="str">
        <f t="shared" si="10"/>
        <v/>
      </c>
      <c r="H162" s="188" t="str">
        <f t="shared" si="11"/>
        <v/>
      </c>
      <c r="I162" s="189"/>
    </row>
    <row r="163" spans="1:9">
      <c r="A163" s="187">
        <v>111</v>
      </c>
      <c r="B163" s="222">
        <v>45555</v>
      </c>
      <c r="C163" s="221">
        <v>63.832625350356871</v>
      </c>
      <c r="D163" s="221">
        <v>19.885734840413747</v>
      </c>
      <c r="E163" s="221">
        <f t="shared" si="8"/>
        <v>19.885734840413747</v>
      </c>
      <c r="F163" s="188" t="str">
        <f t="shared" si="9"/>
        <v/>
      </c>
      <c r="G163" t="str">
        <f t="shared" si="10"/>
        <v/>
      </c>
      <c r="H163" s="188" t="str">
        <f t="shared" si="11"/>
        <v/>
      </c>
      <c r="I163" s="189"/>
    </row>
    <row r="164" spans="1:9">
      <c r="A164" s="187">
        <v>112</v>
      </c>
      <c r="B164" s="222">
        <v>45556</v>
      </c>
      <c r="C164" s="221">
        <v>50.197664322356871</v>
      </c>
      <c r="D164" s="221">
        <v>19.885734840413747</v>
      </c>
      <c r="E164" s="221">
        <f t="shared" si="8"/>
        <v>19.885734840413747</v>
      </c>
      <c r="F164" s="188" t="str">
        <f t="shared" si="9"/>
        <v/>
      </c>
      <c r="G164" t="str">
        <f t="shared" si="10"/>
        <v/>
      </c>
      <c r="H164" s="188" t="str">
        <f t="shared" si="11"/>
        <v/>
      </c>
      <c r="I164" s="189"/>
    </row>
    <row r="165" spans="1:9">
      <c r="A165" s="187">
        <v>113</v>
      </c>
      <c r="B165" s="222">
        <v>45557</v>
      </c>
      <c r="C165" s="221">
        <v>43.917412422356882</v>
      </c>
      <c r="D165" s="221">
        <v>19.885734840413747</v>
      </c>
      <c r="E165" s="221">
        <f t="shared" si="8"/>
        <v>19.885734840413747</v>
      </c>
      <c r="F165" s="188" t="str">
        <f t="shared" si="9"/>
        <v/>
      </c>
      <c r="G165" t="str">
        <f t="shared" si="10"/>
        <v/>
      </c>
      <c r="H165" s="188" t="str">
        <f t="shared" si="11"/>
        <v/>
      </c>
      <c r="I165" s="189"/>
    </row>
    <row r="166" spans="1:9">
      <c r="A166" s="187">
        <v>114</v>
      </c>
      <c r="B166" s="222">
        <v>45558</v>
      </c>
      <c r="C166" s="221">
        <v>42.279065178355012</v>
      </c>
      <c r="D166" s="221">
        <v>19.885734840413747</v>
      </c>
      <c r="E166" s="221">
        <f t="shared" si="8"/>
        <v>19.885734840413747</v>
      </c>
      <c r="F166" s="188" t="str">
        <f t="shared" si="9"/>
        <v/>
      </c>
      <c r="G166" t="str">
        <f t="shared" si="10"/>
        <v/>
      </c>
      <c r="H166" s="188" t="str">
        <f t="shared" si="11"/>
        <v/>
      </c>
      <c r="I166" s="189"/>
    </row>
    <row r="167" spans="1:9">
      <c r="A167" s="187">
        <v>115</v>
      </c>
      <c r="B167" s="222">
        <v>45559</v>
      </c>
      <c r="C167" s="221">
        <v>43.818669830356868</v>
      </c>
      <c r="D167" s="221">
        <v>19.885734840413747</v>
      </c>
      <c r="E167" s="221">
        <f t="shared" si="8"/>
        <v>19.885734840413747</v>
      </c>
      <c r="F167" s="188" t="str">
        <f t="shared" si="9"/>
        <v/>
      </c>
      <c r="G167" t="str">
        <f t="shared" si="10"/>
        <v/>
      </c>
      <c r="H167" s="188" t="str">
        <f t="shared" si="11"/>
        <v/>
      </c>
      <c r="I167" s="189"/>
    </row>
    <row r="168" spans="1:9">
      <c r="A168" s="187">
        <v>116</v>
      </c>
      <c r="B168" s="222">
        <v>45560</v>
      </c>
      <c r="C168" s="221">
        <v>49.660390897962571</v>
      </c>
      <c r="D168" s="221">
        <v>19.885734840413747</v>
      </c>
      <c r="E168" s="221">
        <f t="shared" si="8"/>
        <v>19.885734840413747</v>
      </c>
      <c r="F168" s="188" t="str">
        <f t="shared" si="9"/>
        <v/>
      </c>
      <c r="G168" t="str">
        <f t="shared" si="10"/>
        <v/>
      </c>
      <c r="H168" s="188" t="str">
        <f t="shared" si="11"/>
        <v/>
      </c>
      <c r="I168" s="189"/>
    </row>
    <row r="169" spans="1:9">
      <c r="A169" s="187">
        <v>117</v>
      </c>
      <c r="B169" s="222">
        <v>45561</v>
      </c>
      <c r="C169" s="221">
        <v>36.476566837960704</v>
      </c>
      <c r="D169" s="221">
        <v>19.885734840413747</v>
      </c>
      <c r="E169" s="221">
        <f t="shared" si="8"/>
        <v>19.885734840413747</v>
      </c>
      <c r="F169" s="188" t="str">
        <f t="shared" si="9"/>
        <v/>
      </c>
      <c r="G169" t="str">
        <f t="shared" si="10"/>
        <v/>
      </c>
      <c r="H169" s="188" t="str">
        <f t="shared" si="11"/>
        <v/>
      </c>
      <c r="I169" s="189"/>
    </row>
    <row r="170" spans="1:9">
      <c r="A170" s="187">
        <v>118</v>
      </c>
      <c r="B170" s="222">
        <v>45562</v>
      </c>
      <c r="C170" s="221">
        <v>37.369163633964433</v>
      </c>
      <c r="D170" s="221">
        <v>19.885734840413747</v>
      </c>
      <c r="E170" s="221">
        <f t="shared" si="8"/>
        <v>19.885734840413747</v>
      </c>
      <c r="F170" s="188" t="str">
        <f t="shared" si="9"/>
        <v/>
      </c>
      <c r="G170" t="str">
        <f t="shared" si="10"/>
        <v/>
      </c>
      <c r="H170" s="188" t="str">
        <f t="shared" si="11"/>
        <v/>
      </c>
      <c r="I170" s="189"/>
    </row>
    <row r="171" spans="1:9">
      <c r="A171" s="187">
        <v>119</v>
      </c>
      <c r="B171" s="222">
        <v>45563</v>
      </c>
      <c r="C171" s="221">
        <v>45.754677949964432</v>
      </c>
      <c r="D171" s="221">
        <v>19.885734840413747</v>
      </c>
      <c r="E171" s="221">
        <f t="shared" si="8"/>
        <v>19.885734840413747</v>
      </c>
      <c r="F171" s="188" t="str">
        <f t="shared" si="9"/>
        <v/>
      </c>
      <c r="G171" t="str">
        <f t="shared" si="10"/>
        <v/>
      </c>
      <c r="H171" s="188" t="str">
        <f t="shared" si="11"/>
        <v/>
      </c>
      <c r="I171" s="189"/>
    </row>
    <row r="172" spans="1:9">
      <c r="A172" s="187">
        <v>120</v>
      </c>
      <c r="B172" s="222">
        <v>45564</v>
      </c>
      <c r="C172" s="221">
        <v>37.675193005962569</v>
      </c>
      <c r="D172" s="221">
        <v>19.885734840413747</v>
      </c>
      <c r="E172" s="221">
        <f t="shared" si="8"/>
        <v>19.885734840413747</v>
      </c>
      <c r="F172" s="188" t="str">
        <f t="shared" si="9"/>
        <v/>
      </c>
      <c r="G172" t="str">
        <f t="shared" si="10"/>
        <v/>
      </c>
      <c r="H172" s="188" t="str">
        <f t="shared" si="11"/>
        <v/>
      </c>
      <c r="I172" s="189"/>
    </row>
    <row r="173" spans="1:9">
      <c r="A173" s="187">
        <v>121</v>
      </c>
      <c r="B173" s="222">
        <v>45565</v>
      </c>
      <c r="C173" s="221">
        <v>63.93063872696257</v>
      </c>
      <c r="D173" s="221">
        <v>19.885734840413747</v>
      </c>
      <c r="E173" s="221">
        <f t="shared" si="8"/>
        <v>19.885734840413747</v>
      </c>
      <c r="F173" s="188" t="str">
        <f t="shared" si="9"/>
        <v/>
      </c>
      <c r="G173" t="str">
        <f t="shared" si="10"/>
        <v/>
      </c>
      <c r="H173" s="188" t="str">
        <f t="shared" si="11"/>
        <v/>
      </c>
      <c r="I173" s="189"/>
    </row>
    <row r="174" spans="1:9">
      <c r="A174" s="187">
        <v>122</v>
      </c>
      <c r="B174" s="222">
        <v>45566</v>
      </c>
      <c r="C174" s="221">
        <v>70.121564224962569</v>
      </c>
      <c r="D174" s="221">
        <v>40.505689176644211</v>
      </c>
      <c r="E174" s="221">
        <f t="shared" si="8"/>
        <v>40.505689176644211</v>
      </c>
      <c r="F174" s="188">
        <f t="shared" si="9"/>
        <v>600</v>
      </c>
      <c r="G174" t="str">
        <f t="shared" si="10"/>
        <v/>
      </c>
      <c r="H174" s="188" t="str">
        <f t="shared" si="11"/>
        <v/>
      </c>
      <c r="I174" s="189"/>
    </row>
    <row r="175" spans="1:9">
      <c r="A175" s="187">
        <v>123</v>
      </c>
      <c r="B175" s="222">
        <v>45567</v>
      </c>
      <c r="C175" s="221">
        <v>58.093691492615221</v>
      </c>
      <c r="D175" s="221">
        <v>40.505689176644211</v>
      </c>
      <c r="E175" s="221">
        <f t="shared" si="8"/>
        <v>40.505689176644211</v>
      </c>
      <c r="F175" s="188" t="str">
        <f t="shared" si="9"/>
        <v/>
      </c>
      <c r="G175" t="str">
        <f t="shared" si="10"/>
        <v/>
      </c>
      <c r="H175" s="188" t="str">
        <f t="shared" si="11"/>
        <v/>
      </c>
      <c r="I175" s="189"/>
    </row>
    <row r="176" spans="1:9">
      <c r="A176" s="187">
        <v>124</v>
      </c>
      <c r="B176" s="222">
        <v>45568</v>
      </c>
      <c r="C176" s="221">
        <v>63.505284593613354</v>
      </c>
      <c r="D176" s="221">
        <v>40.505689176644211</v>
      </c>
      <c r="E176" s="221">
        <f t="shared" si="8"/>
        <v>40.505689176644211</v>
      </c>
      <c r="F176" s="188" t="str">
        <f t="shared" si="9"/>
        <v/>
      </c>
      <c r="G176" t="str">
        <f t="shared" si="10"/>
        <v/>
      </c>
      <c r="H176" s="188" t="str">
        <f t="shared" si="11"/>
        <v/>
      </c>
      <c r="I176" s="189"/>
    </row>
    <row r="177" spans="1:9">
      <c r="A177" s="187">
        <v>125</v>
      </c>
      <c r="B177" s="222">
        <v>45569</v>
      </c>
      <c r="C177" s="221">
        <v>75.064582163617089</v>
      </c>
      <c r="D177" s="221">
        <v>40.505689176644211</v>
      </c>
      <c r="E177" s="221">
        <f t="shared" si="8"/>
        <v>40.505689176644211</v>
      </c>
      <c r="F177" s="188" t="str">
        <f t="shared" si="9"/>
        <v/>
      </c>
      <c r="G177" t="str">
        <f t="shared" si="10"/>
        <v/>
      </c>
      <c r="H177" s="188" t="str">
        <f t="shared" si="11"/>
        <v/>
      </c>
      <c r="I177" s="189"/>
    </row>
    <row r="178" spans="1:9">
      <c r="A178" s="187">
        <v>126</v>
      </c>
      <c r="B178" s="222">
        <v>45570</v>
      </c>
      <c r="C178" s="221">
        <v>63.668841232613353</v>
      </c>
      <c r="D178" s="221">
        <v>40.505689176644211</v>
      </c>
      <c r="E178" s="221">
        <f t="shared" si="8"/>
        <v>40.505689176644211</v>
      </c>
      <c r="F178" s="188" t="str">
        <f t="shared" si="9"/>
        <v/>
      </c>
      <c r="G178" t="str">
        <f t="shared" si="10"/>
        <v/>
      </c>
      <c r="H178" s="188" t="str">
        <f t="shared" si="11"/>
        <v/>
      </c>
      <c r="I178" s="189"/>
    </row>
    <row r="179" spans="1:9">
      <c r="A179" s="187">
        <v>127</v>
      </c>
      <c r="B179" s="222">
        <v>45571</v>
      </c>
      <c r="C179" s="221">
        <v>32.815466096617079</v>
      </c>
      <c r="D179" s="221">
        <v>40.505689176644211</v>
      </c>
      <c r="E179" s="221">
        <f t="shared" si="8"/>
        <v>32.815466096617079</v>
      </c>
      <c r="F179" s="188" t="str">
        <f t="shared" si="9"/>
        <v/>
      </c>
      <c r="G179" t="str">
        <f t="shared" si="10"/>
        <v/>
      </c>
      <c r="H179" s="188" t="str">
        <f t="shared" si="11"/>
        <v/>
      </c>
      <c r="I179" s="189"/>
    </row>
    <row r="180" spans="1:9">
      <c r="A180" s="187">
        <v>128</v>
      </c>
      <c r="B180" s="222">
        <v>45572</v>
      </c>
      <c r="C180" s="221">
        <v>54.135526761615218</v>
      </c>
      <c r="D180" s="221">
        <v>40.505689176644211</v>
      </c>
      <c r="E180" s="221">
        <f t="shared" ref="E180:E243" si="12">IF(C180&lt;D180,C180,D180)</f>
        <v>40.505689176644211</v>
      </c>
      <c r="F180" s="188" t="str">
        <f t="shared" ref="F180:F243" si="13">IF(DAY(B180)=1,600,"")</f>
        <v/>
      </c>
      <c r="G180" t="str">
        <f t="shared" si="10"/>
        <v/>
      </c>
      <c r="H180" s="188" t="str">
        <f t="shared" si="11"/>
        <v/>
      </c>
      <c r="I180" s="189"/>
    </row>
    <row r="181" spans="1:9">
      <c r="A181" s="187">
        <v>129</v>
      </c>
      <c r="B181" s="222">
        <v>45573</v>
      </c>
      <c r="C181" s="221">
        <v>44.202079119613359</v>
      </c>
      <c r="D181" s="221">
        <v>40.505689176644211</v>
      </c>
      <c r="E181" s="221">
        <f t="shared" si="12"/>
        <v>40.505689176644211</v>
      </c>
      <c r="F181" s="188" t="str">
        <f t="shared" si="13"/>
        <v/>
      </c>
      <c r="G181" t="str">
        <f t="shared" si="10"/>
        <v/>
      </c>
      <c r="H181" s="188" t="str">
        <f t="shared" si="11"/>
        <v/>
      </c>
      <c r="I181" s="189"/>
    </row>
    <row r="182" spans="1:9">
      <c r="A182" s="187">
        <v>130</v>
      </c>
      <c r="B182" s="222">
        <v>45574</v>
      </c>
      <c r="C182" s="221">
        <v>108.60683495363436</v>
      </c>
      <c r="D182" s="221">
        <v>40.505689176644211</v>
      </c>
      <c r="E182" s="221">
        <f t="shared" si="12"/>
        <v>40.505689176644211</v>
      </c>
      <c r="F182" s="188" t="str">
        <f t="shared" si="13"/>
        <v/>
      </c>
      <c r="G182" t="str">
        <f t="shared" ref="G182:G245" si="14">IF(MONTH(B182)=1,IF(DAY(B182)=1,YEAR(B182),""),"")</f>
        <v/>
      </c>
      <c r="H182" s="188" t="str">
        <f t="shared" si="11"/>
        <v/>
      </c>
      <c r="I182" s="189"/>
    </row>
    <row r="183" spans="1:9">
      <c r="A183" s="187">
        <v>131</v>
      </c>
      <c r="B183" s="222">
        <v>45575</v>
      </c>
      <c r="C183" s="221">
        <v>142.73072479663435</v>
      </c>
      <c r="D183" s="221">
        <v>40.505689176644211</v>
      </c>
      <c r="E183" s="221">
        <f t="shared" si="12"/>
        <v>40.505689176644211</v>
      </c>
      <c r="F183" s="188" t="str">
        <f t="shared" si="13"/>
        <v/>
      </c>
      <c r="G183" t="str">
        <f t="shared" si="14"/>
        <v/>
      </c>
      <c r="H183" s="188" t="str">
        <f t="shared" si="11"/>
        <v/>
      </c>
      <c r="I183" s="189"/>
    </row>
    <row r="184" spans="1:9">
      <c r="A184" s="187">
        <v>132</v>
      </c>
      <c r="B184" s="222">
        <v>45576</v>
      </c>
      <c r="C184" s="221">
        <v>165.58634543963248</v>
      </c>
      <c r="D184" s="221">
        <v>40.505689176644211</v>
      </c>
      <c r="E184" s="221">
        <f t="shared" si="12"/>
        <v>40.505689176644211</v>
      </c>
      <c r="F184" s="188" t="str">
        <f t="shared" si="13"/>
        <v/>
      </c>
      <c r="G184" t="str">
        <f t="shared" si="14"/>
        <v/>
      </c>
      <c r="H184" s="188" t="str">
        <f t="shared" si="11"/>
        <v/>
      </c>
      <c r="I184" s="189"/>
    </row>
    <row r="185" spans="1:9">
      <c r="A185" s="187">
        <v>133</v>
      </c>
      <c r="B185" s="222">
        <v>45577</v>
      </c>
      <c r="C185" s="221">
        <v>154.05349895263433</v>
      </c>
      <c r="D185" s="221">
        <v>40.505689176644211</v>
      </c>
      <c r="E185" s="221">
        <f t="shared" si="12"/>
        <v>40.505689176644211</v>
      </c>
      <c r="F185" s="188" t="str">
        <f t="shared" si="13"/>
        <v/>
      </c>
      <c r="G185" t="str">
        <f t="shared" si="14"/>
        <v/>
      </c>
      <c r="H185" s="188" t="str">
        <f t="shared" si="11"/>
        <v/>
      </c>
      <c r="I185" s="189"/>
    </row>
    <row r="186" spans="1:9">
      <c r="A186" s="187">
        <v>134</v>
      </c>
      <c r="B186" s="222">
        <v>45578</v>
      </c>
      <c r="C186" s="221">
        <v>138.64484870463434</v>
      </c>
      <c r="D186" s="221">
        <v>40.505689176644211</v>
      </c>
      <c r="E186" s="221">
        <f t="shared" si="12"/>
        <v>40.505689176644211</v>
      </c>
      <c r="F186" s="188" t="str">
        <f t="shared" si="13"/>
        <v/>
      </c>
      <c r="G186" t="str">
        <f t="shared" si="14"/>
        <v/>
      </c>
      <c r="H186" s="188" t="str">
        <f t="shared" si="11"/>
        <v/>
      </c>
      <c r="I186" s="189"/>
    </row>
    <row r="187" spans="1:9">
      <c r="A187" s="187">
        <v>135</v>
      </c>
      <c r="B187" s="222">
        <v>45579</v>
      </c>
      <c r="C187" s="221">
        <v>175.02548310063435</v>
      </c>
      <c r="D187" s="221">
        <v>40.505689176644211</v>
      </c>
      <c r="E187" s="221">
        <f t="shared" si="12"/>
        <v>40.505689176644211</v>
      </c>
      <c r="F187" s="188" t="str">
        <f t="shared" si="13"/>
        <v/>
      </c>
      <c r="G187" t="str">
        <f t="shared" si="14"/>
        <v/>
      </c>
      <c r="H187" s="188" t="str">
        <f>IF(DAY(B187)=15,IF(MONTH(B187)=1,"E",IF(MONTH(B187)=2,"F",IF(MONTH(B187)=3,"M",IF(MONTH(B187)=4,"A",IF(MONTH(B187)=5,"M",IF(MONTH(B187)=6,"J",IF(MONTH(B187)=7,"J",IF(MONTH(B187)=8,"A",IF(MONTH(B187)=9,"S",IF(MONTH(B187)=10,"O",IF(MONTH(B187)=11,"N",IF(MONTH(B187)=12,"D","")))))))))))),"")</f>
        <v/>
      </c>
      <c r="I187" s="189"/>
    </row>
    <row r="188" spans="1:9">
      <c r="A188" s="187">
        <v>136</v>
      </c>
      <c r="B188" s="222">
        <v>45580</v>
      </c>
      <c r="C188" s="221">
        <v>159.86040882463246</v>
      </c>
      <c r="D188" s="221">
        <v>40.505689176644211</v>
      </c>
      <c r="E188" s="221">
        <f t="shared" si="12"/>
        <v>40.505689176644211</v>
      </c>
      <c r="F188" s="188" t="str">
        <f t="shared" si="13"/>
        <v/>
      </c>
      <c r="G188" t="str">
        <f t="shared" si="14"/>
        <v/>
      </c>
      <c r="H188" s="188" t="str">
        <f>IF(DAY(B188)=15,IF(MONTH(B188)=1,"E",IF(MONTH(B188)=2,"F",IF(MONTH(B188)=3,"M",IF(MONTH(B188)=4,"A",IF(MONTH(B188)=5,"M",IF(MONTH(B188)=6,"J",IF(MONTH(B188)=7,"J",IF(MONTH(B188)=8,"A",IF(MONTH(B188)=9,"S",IF(MONTH(B188)=10,"O",IF(MONTH(B188)=11,"N",IF(MONTH(B188)=12,"D","")))))))))))),"")</f>
        <v>O</v>
      </c>
      <c r="I188" s="189">
        <f>IF(DAY(B188)=15,D188,"")</f>
        <v>40.505689176644211</v>
      </c>
    </row>
    <row r="189" spans="1:9">
      <c r="A189" s="187">
        <v>137</v>
      </c>
      <c r="B189" s="222">
        <v>45581</v>
      </c>
      <c r="C189" s="221">
        <v>125.9213486946114</v>
      </c>
      <c r="D189" s="221">
        <v>40.505689176644211</v>
      </c>
      <c r="E189" s="221">
        <f t="shared" si="12"/>
        <v>40.505689176644211</v>
      </c>
      <c r="F189" s="188" t="str">
        <f t="shared" si="13"/>
        <v/>
      </c>
      <c r="G189" t="str">
        <f t="shared" si="14"/>
        <v/>
      </c>
      <c r="H189" s="188" t="str">
        <f>IF(DAY(B189)=15,IF(MONTH(B189)=1,"E",IF(MONTH(B189)=2,"F",IF(MONTH(B189)=3,"M",IF(MONTH(B189)=4,"A",IF(MONTH(B189)=5,"M",IF(MONTH(B189)=6,"J",IF(MONTH(B189)=7,"J",IF(MONTH(B189)=8,"A",IF(MONTH(B189)=9,"S",IF(MONTH(B189)=10,"O",IF(MONTH(B189)=11,"N",IF(MONTH(B189)=12,"D","")))))))))))),"")</f>
        <v/>
      </c>
      <c r="I189" s="189"/>
    </row>
    <row r="190" spans="1:9">
      <c r="A190" s="187">
        <v>138</v>
      </c>
      <c r="B190" s="222">
        <v>45582</v>
      </c>
      <c r="C190" s="221">
        <v>121.5896730726114</v>
      </c>
      <c r="D190" s="221">
        <v>40.505689176644211</v>
      </c>
      <c r="E190" s="221">
        <f t="shared" si="12"/>
        <v>40.505689176644211</v>
      </c>
      <c r="F190" s="188" t="str">
        <f t="shared" si="13"/>
        <v/>
      </c>
      <c r="G190" t="str">
        <f t="shared" si="14"/>
        <v/>
      </c>
      <c r="H190" s="188" t="str">
        <f t="shared" si="11"/>
        <v/>
      </c>
      <c r="I190" s="189"/>
    </row>
    <row r="191" spans="1:9">
      <c r="A191" s="187">
        <v>139</v>
      </c>
      <c r="B191" s="222">
        <v>45583</v>
      </c>
      <c r="C191" s="221">
        <v>130.58842820161513</v>
      </c>
      <c r="D191" s="221">
        <v>40.505689176644211</v>
      </c>
      <c r="E191" s="221">
        <f t="shared" si="12"/>
        <v>40.505689176644211</v>
      </c>
      <c r="F191" s="188" t="str">
        <f t="shared" si="13"/>
        <v/>
      </c>
      <c r="G191" t="str">
        <f t="shared" si="14"/>
        <v/>
      </c>
      <c r="H191" s="188" t="str">
        <f t="shared" si="11"/>
        <v/>
      </c>
      <c r="I191" s="189"/>
    </row>
    <row r="192" spans="1:9">
      <c r="A192" s="187">
        <v>140</v>
      </c>
      <c r="B192" s="222">
        <v>45584</v>
      </c>
      <c r="C192" s="221">
        <v>125.70113585760954</v>
      </c>
      <c r="D192" s="221">
        <v>40.505689176644211</v>
      </c>
      <c r="E192" s="221">
        <f t="shared" si="12"/>
        <v>40.505689176644211</v>
      </c>
      <c r="F192" s="188" t="str">
        <f t="shared" si="13"/>
        <v/>
      </c>
      <c r="G192" t="str">
        <f t="shared" si="14"/>
        <v/>
      </c>
      <c r="H192" s="188" t="str">
        <f t="shared" si="11"/>
        <v/>
      </c>
      <c r="I192" s="189"/>
    </row>
    <row r="193" spans="1:9">
      <c r="A193" s="187">
        <v>141</v>
      </c>
      <c r="B193" s="222">
        <v>45585</v>
      </c>
      <c r="C193" s="221">
        <v>114.88872600161326</v>
      </c>
      <c r="D193" s="221">
        <v>40.505689176644211</v>
      </c>
      <c r="E193" s="221">
        <f t="shared" si="12"/>
        <v>40.505689176644211</v>
      </c>
      <c r="F193" s="188" t="str">
        <f t="shared" si="13"/>
        <v/>
      </c>
      <c r="G193" t="str">
        <f t="shared" si="14"/>
        <v/>
      </c>
      <c r="H193" s="188" t="str">
        <f t="shared" si="11"/>
        <v/>
      </c>
      <c r="I193" s="189"/>
    </row>
    <row r="194" spans="1:9">
      <c r="A194" s="187">
        <v>142</v>
      </c>
      <c r="B194" s="222">
        <v>45586</v>
      </c>
      <c r="C194" s="221">
        <v>146.73080581060955</v>
      </c>
      <c r="D194" s="221">
        <v>40.505689176644211</v>
      </c>
      <c r="E194" s="221">
        <f t="shared" si="12"/>
        <v>40.505689176644211</v>
      </c>
      <c r="F194" s="188" t="str">
        <f t="shared" si="13"/>
        <v/>
      </c>
      <c r="G194" t="str">
        <f t="shared" si="14"/>
        <v/>
      </c>
      <c r="H194" s="188" t="str">
        <f t="shared" si="11"/>
        <v/>
      </c>
      <c r="I194" s="189"/>
    </row>
    <row r="195" spans="1:9">
      <c r="A195" s="187">
        <v>143</v>
      </c>
      <c r="B195" s="222">
        <v>45587</v>
      </c>
      <c r="C195" s="221">
        <v>144.65192906961141</v>
      </c>
      <c r="D195" s="221">
        <v>40.505689176644211</v>
      </c>
      <c r="E195" s="221">
        <f t="shared" si="12"/>
        <v>40.505689176644211</v>
      </c>
      <c r="F195" s="188" t="str">
        <f t="shared" si="13"/>
        <v/>
      </c>
      <c r="G195" t="str">
        <f t="shared" si="14"/>
        <v/>
      </c>
      <c r="H195" s="188" t="str">
        <f t="shared" ref="H195:H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I195" s="189"/>
    </row>
    <row r="196" spans="1:9">
      <c r="A196" s="187">
        <v>144</v>
      </c>
      <c r="B196" s="222">
        <v>45588</v>
      </c>
      <c r="C196" s="221">
        <v>99.56140176153194</v>
      </c>
      <c r="D196" s="221">
        <v>40.505689176644211</v>
      </c>
      <c r="E196" s="221">
        <f t="shared" si="12"/>
        <v>40.505689176644211</v>
      </c>
      <c r="F196" s="188" t="str">
        <f t="shared" si="13"/>
        <v/>
      </c>
      <c r="G196" t="str">
        <f t="shared" si="14"/>
        <v/>
      </c>
      <c r="H196" s="188" t="str">
        <f t="shared" si="15"/>
        <v/>
      </c>
      <c r="I196" s="189"/>
    </row>
    <row r="197" spans="1:9">
      <c r="A197" s="187">
        <v>145</v>
      </c>
      <c r="B197" s="222">
        <v>45589</v>
      </c>
      <c r="C197" s="221">
        <v>89.822734455530082</v>
      </c>
      <c r="D197" s="221">
        <v>40.505689176644211</v>
      </c>
      <c r="E197" s="221">
        <f t="shared" si="12"/>
        <v>40.505689176644211</v>
      </c>
      <c r="F197" s="188" t="str">
        <f t="shared" si="13"/>
        <v/>
      </c>
      <c r="G197" t="str">
        <f t="shared" si="14"/>
        <v/>
      </c>
      <c r="H197" s="188" t="str">
        <f t="shared" si="15"/>
        <v/>
      </c>
      <c r="I197" s="189"/>
    </row>
    <row r="198" spans="1:9">
      <c r="A198" s="187">
        <v>146</v>
      </c>
      <c r="B198" s="222">
        <v>45590</v>
      </c>
      <c r="C198" s="221">
        <v>108.99365419853194</v>
      </c>
      <c r="D198" s="221">
        <v>40.505689176644211</v>
      </c>
      <c r="E198" s="221">
        <f t="shared" si="12"/>
        <v>40.505689176644211</v>
      </c>
      <c r="F198" s="188" t="str">
        <f t="shared" si="13"/>
        <v/>
      </c>
      <c r="G198" t="str">
        <f t="shared" si="14"/>
        <v/>
      </c>
      <c r="H198" s="188" t="str">
        <f t="shared" si="15"/>
        <v/>
      </c>
      <c r="I198" s="189"/>
    </row>
    <row r="199" spans="1:9">
      <c r="A199" s="187">
        <v>147</v>
      </c>
      <c r="B199" s="222">
        <v>45591</v>
      </c>
      <c r="C199" s="221">
        <v>104.82100935853008</v>
      </c>
      <c r="D199" s="221">
        <v>40.505689176644211</v>
      </c>
      <c r="E199" s="221">
        <f t="shared" si="12"/>
        <v>40.505689176644211</v>
      </c>
      <c r="F199" s="188" t="str">
        <f t="shared" si="13"/>
        <v/>
      </c>
      <c r="G199" t="str">
        <f t="shared" si="14"/>
        <v/>
      </c>
      <c r="H199" s="188" t="str">
        <f t="shared" si="15"/>
        <v/>
      </c>
      <c r="I199" s="189"/>
    </row>
    <row r="200" spans="1:9">
      <c r="A200" s="187">
        <v>148</v>
      </c>
      <c r="B200" s="222">
        <v>45592</v>
      </c>
      <c r="C200" s="221">
        <v>101.01872951353381</v>
      </c>
      <c r="D200" s="221">
        <v>40.505689176644211</v>
      </c>
      <c r="E200" s="221">
        <f t="shared" si="12"/>
        <v>40.505689176644211</v>
      </c>
      <c r="F200" s="188" t="str">
        <f t="shared" si="13"/>
        <v/>
      </c>
      <c r="G200" t="str">
        <f t="shared" si="14"/>
        <v/>
      </c>
      <c r="H200" s="188" t="str">
        <f t="shared" si="15"/>
        <v/>
      </c>
      <c r="I200" s="189"/>
    </row>
    <row r="201" spans="1:9">
      <c r="A201" s="187">
        <v>149</v>
      </c>
      <c r="B201" s="222">
        <v>45593</v>
      </c>
      <c r="C201" s="221">
        <v>85.310415566530082</v>
      </c>
      <c r="D201" s="221">
        <v>40.505689176644211</v>
      </c>
      <c r="E201" s="221">
        <f t="shared" si="12"/>
        <v>40.505689176644211</v>
      </c>
      <c r="F201" s="188" t="str">
        <f t="shared" si="13"/>
        <v/>
      </c>
      <c r="G201" t="str">
        <f t="shared" si="14"/>
        <v/>
      </c>
      <c r="H201" s="188" t="str">
        <f t="shared" si="15"/>
        <v/>
      </c>
      <c r="I201" s="189"/>
    </row>
    <row r="202" spans="1:9">
      <c r="A202" s="187">
        <v>150</v>
      </c>
      <c r="B202" s="222">
        <v>45594</v>
      </c>
      <c r="C202" s="221">
        <v>107.55351393853009</v>
      </c>
      <c r="D202" s="221">
        <v>40.505689176644211</v>
      </c>
      <c r="E202" s="221">
        <f t="shared" si="12"/>
        <v>40.505689176644211</v>
      </c>
      <c r="F202" s="188" t="str">
        <f t="shared" si="13"/>
        <v/>
      </c>
      <c r="G202" t="str">
        <f t="shared" si="14"/>
        <v/>
      </c>
      <c r="H202" s="188" t="str">
        <f t="shared" si="15"/>
        <v/>
      </c>
      <c r="I202" s="189"/>
    </row>
    <row r="203" spans="1:9">
      <c r="A203" s="187">
        <v>151</v>
      </c>
      <c r="B203" s="222">
        <v>45595</v>
      </c>
      <c r="C203" s="221">
        <v>114.25556064982062</v>
      </c>
      <c r="D203" s="221">
        <v>40.505689176644211</v>
      </c>
      <c r="E203" s="221">
        <f t="shared" si="12"/>
        <v>40.505689176644211</v>
      </c>
      <c r="F203" s="188" t="str">
        <f t="shared" si="13"/>
        <v/>
      </c>
      <c r="G203" t="str">
        <f t="shared" si="14"/>
        <v/>
      </c>
      <c r="H203" s="188" t="str">
        <f t="shared" si="15"/>
        <v/>
      </c>
      <c r="I203" s="189"/>
    </row>
    <row r="204" spans="1:9">
      <c r="A204" s="187">
        <v>152</v>
      </c>
      <c r="B204" s="222">
        <v>45596</v>
      </c>
      <c r="C204" s="221">
        <v>120.62257121381876</v>
      </c>
      <c r="D204" s="221">
        <v>40.505689176644211</v>
      </c>
      <c r="E204" s="221">
        <f t="shared" si="12"/>
        <v>40.505689176644211</v>
      </c>
      <c r="F204" s="188" t="str">
        <f t="shared" si="13"/>
        <v/>
      </c>
      <c r="G204" t="str">
        <f t="shared" si="14"/>
        <v/>
      </c>
      <c r="H204" s="188" t="str">
        <f t="shared" si="15"/>
        <v/>
      </c>
      <c r="I204" s="189"/>
    </row>
    <row r="205" spans="1:9">
      <c r="A205" s="187">
        <v>153</v>
      </c>
      <c r="B205" s="222">
        <v>45597</v>
      </c>
      <c r="C205" s="221">
        <v>108.76862090582061</v>
      </c>
      <c r="D205" s="221">
        <v>82.040549235563063</v>
      </c>
      <c r="E205" s="221">
        <f t="shared" si="12"/>
        <v>82.040549235563063</v>
      </c>
      <c r="F205" s="188">
        <f>IF(DAY(B205)=1,600,"")</f>
        <v>600</v>
      </c>
      <c r="G205" t="str">
        <f t="shared" si="14"/>
        <v/>
      </c>
      <c r="H205" s="188" t="str">
        <f t="shared" si="15"/>
        <v/>
      </c>
      <c r="I205" s="189"/>
    </row>
    <row r="206" spans="1:9">
      <c r="A206" s="187">
        <v>154</v>
      </c>
      <c r="B206" s="222">
        <v>45598</v>
      </c>
      <c r="C206" s="221">
        <v>109.24002074981875</v>
      </c>
      <c r="D206" s="221">
        <v>82.040549235563063</v>
      </c>
      <c r="E206" s="221">
        <f t="shared" si="12"/>
        <v>82.040549235563063</v>
      </c>
      <c r="F206" s="188" t="str">
        <f t="shared" si="13"/>
        <v/>
      </c>
      <c r="G206" t="str">
        <f t="shared" si="14"/>
        <v/>
      </c>
      <c r="H206" s="188" t="str">
        <f t="shared" si="15"/>
        <v/>
      </c>
      <c r="I206" s="189"/>
    </row>
    <row r="207" spans="1:9">
      <c r="A207" s="187">
        <v>155</v>
      </c>
      <c r="B207" s="222">
        <v>45599</v>
      </c>
      <c r="C207" s="221">
        <v>95.767610525818739</v>
      </c>
      <c r="D207" s="221">
        <v>82.040549235563063</v>
      </c>
      <c r="E207" s="221">
        <f t="shared" si="12"/>
        <v>82.040549235563063</v>
      </c>
      <c r="F207" s="188" t="str">
        <f t="shared" si="13"/>
        <v/>
      </c>
      <c r="G207" t="str">
        <f t="shared" si="14"/>
        <v/>
      </c>
      <c r="H207" s="188" t="str">
        <f t="shared" si="15"/>
        <v/>
      </c>
      <c r="I207" s="189"/>
    </row>
    <row r="208" spans="1:9">
      <c r="A208" s="187">
        <v>156</v>
      </c>
      <c r="B208" s="222">
        <v>45600</v>
      </c>
      <c r="C208" s="221">
        <v>119.16915144981874</v>
      </c>
      <c r="D208" s="221">
        <v>82.040549235563063</v>
      </c>
      <c r="E208" s="221">
        <f t="shared" si="12"/>
        <v>82.040549235563063</v>
      </c>
      <c r="F208" s="188" t="str">
        <f t="shared" si="13"/>
        <v/>
      </c>
      <c r="G208" t="str">
        <f t="shared" si="14"/>
        <v/>
      </c>
      <c r="H208" s="188" t="str">
        <f t="shared" si="15"/>
        <v/>
      </c>
      <c r="I208" s="189"/>
    </row>
    <row r="209" spans="1:9">
      <c r="A209" s="187">
        <v>157</v>
      </c>
      <c r="B209" s="222">
        <v>45601</v>
      </c>
      <c r="C209" s="221">
        <v>129.5796302458206</v>
      </c>
      <c r="D209" s="221">
        <v>82.040549235563063</v>
      </c>
      <c r="E209" s="221">
        <f t="shared" si="12"/>
        <v>82.040549235563063</v>
      </c>
      <c r="F209" s="188" t="str">
        <f t="shared" si="13"/>
        <v/>
      </c>
      <c r="G209" t="str">
        <f t="shared" si="14"/>
        <v/>
      </c>
      <c r="H209" s="188" t="str">
        <f t="shared" si="15"/>
        <v/>
      </c>
      <c r="I209" s="189"/>
    </row>
    <row r="210" spans="1:9">
      <c r="A210" s="187">
        <v>158</v>
      </c>
      <c r="B210" s="222">
        <v>45602</v>
      </c>
      <c r="C210" s="221">
        <v>87.784054995033571</v>
      </c>
      <c r="D210" s="221">
        <v>82.040549235563063</v>
      </c>
      <c r="E210" s="221">
        <f t="shared" si="12"/>
        <v>82.040549235563063</v>
      </c>
      <c r="F210" s="188" t="str">
        <f t="shared" si="13"/>
        <v/>
      </c>
      <c r="G210" t="str">
        <f t="shared" si="14"/>
        <v/>
      </c>
      <c r="H210" s="188" t="str">
        <f t="shared" si="15"/>
        <v/>
      </c>
      <c r="I210" s="189"/>
    </row>
    <row r="211" spans="1:9">
      <c r="A211" s="187">
        <v>159</v>
      </c>
      <c r="B211" s="222">
        <v>45603</v>
      </c>
      <c r="C211" s="221">
        <v>88.959883919029849</v>
      </c>
      <c r="D211" s="221">
        <v>82.040549235563063</v>
      </c>
      <c r="E211" s="221">
        <f t="shared" si="12"/>
        <v>82.040549235563063</v>
      </c>
      <c r="F211" s="188" t="str">
        <f t="shared" si="13"/>
        <v/>
      </c>
      <c r="G211" t="str">
        <f t="shared" si="14"/>
        <v/>
      </c>
      <c r="H211" s="188" t="str">
        <f t="shared" si="15"/>
        <v/>
      </c>
      <c r="I211" s="189"/>
    </row>
    <row r="212" spans="1:9">
      <c r="A212" s="187">
        <v>160</v>
      </c>
      <c r="B212" s="222">
        <v>45604</v>
      </c>
      <c r="C212" s="221">
        <v>102.86864674303358</v>
      </c>
      <c r="D212" s="221">
        <v>82.040549235563063</v>
      </c>
      <c r="E212" s="221">
        <f t="shared" si="12"/>
        <v>82.040549235563063</v>
      </c>
      <c r="F212" s="188" t="str">
        <f t="shared" si="13"/>
        <v/>
      </c>
      <c r="G212" t="str">
        <f t="shared" si="14"/>
        <v/>
      </c>
      <c r="H212" s="188" t="str">
        <f t="shared" si="15"/>
        <v/>
      </c>
      <c r="I212" s="189"/>
    </row>
    <row r="213" spans="1:9">
      <c r="A213" s="187">
        <v>161</v>
      </c>
      <c r="B213" s="222">
        <v>45605</v>
      </c>
      <c r="C213" s="221">
        <v>68.990421255031706</v>
      </c>
      <c r="D213" s="221">
        <v>82.040549235563063</v>
      </c>
      <c r="E213" s="221">
        <f t="shared" si="12"/>
        <v>68.990421255031706</v>
      </c>
      <c r="F213" s="188" t="str">
        <f t="shared" si="13"/>
        <v/>
      </c>
      <c r="G213" t="str">
        <f t="shared" si="14"/>
        <v/>
      </c>
      <c r="H213" s="188" t="str">
        <f t="shared" si="15"/>
        <v/>
      </c>
      <c r="I213" s="189"/>
    </row>
    <row r="214" spans="1:9">
      <c r="A214" s="187">
        <v>162</v>
      </c>
      <c r="B214" s="222">
        <v>45606</v>
      </c>
      <c r="C214" s="221">
        <v>48.830029151029841</v>
      </c>
      <c r="D214" s="221">
        <v>82.040549235563063</v>
      </c>
      <c r="E214" s="221">
        <f t="shared" si="12"/>
        <v>48.830029151029841</v>
      </c>
      <c r="F214" s="188" t="str">
        <f t="shared" si="13"/>
        <v/>
      </c>
      <c r="G214" t="str">
        <f t="shared" si="14"/>
        <v/>
      </c>
      <c r="H214" s="188" t="str">
        <f t="shared" si="15"/>
        <v/>
      </c>
      <c r="I214" s="189"/>
    </row>
    <row r="215" spans="1:9">
      <c r="A215" s="187">
        <v>163</v>
      </c>
      <c r="B215" s="222">
        <v>45607</v>
      </c>
      <c r="C215" s="221">
        <v>48.744043399035434</v>
      </c>
      <c r="D215" s="221">
        <v>82.040549235563063</v>
      </c>
      <c r="E215" s="221">
        <f t="shared" si="12"/>
        <v>48.744043399035434</v>
      </c>
      <c r="F215" s="188" t="str">
        <f t="shared" si="13"/>
        <v/>
      </c>
      <c r="G215" t="str">
        <f t="shared" si="14"/>
        <v/>
      </c>
      <c r="H215" s="188" t="str">
        <f t="shared" si="15"/>
        <v/>
      </c>
      <c r="I215" s="189"/>
    </row>
    <row r="216" spans="1:9">
      <c r="A216" s="187">
        <v>164</v>
      </c>
      <c r="B216" s="222">
        <v>45608</v>
      </c>
      <c r="C216" s="221">
        <v>40.111187227031714</v>
      </c>
      <c r="D216" s="221">
        <v>82.040549235563063</v>
      </c>
      <c r="E216" s="221">
        <f t="shared" si="12"/>
        <v>40.111187227031714</v>
      </c>
      <c r="F216" s="188" t="str">
        <f t="shared" si="13"/>
        <v/>
      </c>
      <c r="G216" t="str">
        <f t="shared" si="14"/>
        <v/>
      </c>
      <c r="H216" s="188" t="str">
        <f>IF(DAY(B216)=15,IF(MONTH(B216)=1,"E",IF(MONTH(B216)=2,"F",IF(MONTH(B216)=3,"M",IF(MONTH(B216)=4,"A",IF(MONTH(B216)=5,"M",IF(MONTH(B216)=6,"J",IF(MONTH(B216)=7,"J",IF(MONTH(B216)=8,"A",IF(MONTH(B216)=9,"S",IF(MONTH(B216)=10,"O",IF(MONTH(B216)=11,"N",IF(MONTH(B216)=12,"D","")))))))))))),"")</f>
        <v/>
      </c>
      <c r="I216" s="189"/>
    </row>
    <row r="217" spans="1:9">
      <c r="A217" s="187">
        <v>165</v>
      </c>
      <c r="B217" s="222">
        <v>45609</v>
      </c>
      <c r="C217" s="221">
        <v>68.92554444516648</v>
      </c>
      <c r="D217" s="221">
        <v>82.040549235563063</v>
      </c>
      <c r="E217" s="221">
        <f t="shared" si="12"/>
        <v>68.92554444516648</v>
      </c>
      <c r="F217" s="188" t="str">
        <f t="shared" si="13"/>
        <v/>
      </c>
      <c r="G217" t="str">
        <f t="shared" si="14"/>
        <v/>
      </c>
      <c r="H217" s="188" t="str">
        <f t="shared" si="15"/>
        <v/>
      </c>
      <c r="I217" s="189"/>
    </row>
    <row r="218" spans="1:9">
      <c r="A218" s="187">
        <v>166</v>
      </c>
      <c r="B218" s="222">
        <v>45610</v>
      </c>
      <c r="C218" s="221">
        <v>75.349298657168347</v>
      </c>
      <c r="D218" s="221">
        <v>82.040549235563063</v>
      </c>
      <c r="E218" s="221">
        <f t="shared" si="12"/>
        <v>75.349298657168347</v>
      </c>
      <c r="F218" s="188" t="str">
        <f t="shared" si="13"/>
        <v/>
      </c>
      <c r="G218" t="str">
        <f t="shared" si="14"/>
        <v/>
      </c>
      <c r="H218" s="188" t="str">
        <f t="shared" si="15"/>
        <v/>
      </c>
      <c r="I218" s="189"/>
    </row>
    <row r="219" spans="1:9">
      <c r="A219" s="187">
        <v>167</v>
      </c>
      <c r="B219" s="222">
        <v>45611</v>
      </c>
      <c r="C219" s="221">
        <v>68.27269855316834</v>
      </c>
      <c r="D219" s="221">
        <v>82.040549235563063</v>
      </c>
      <c r="E219" s="221">
        <f t="shared" si="12"/>
        <v>68.27269855316834</v>
      </c>
      <c r="F219" s="188" t="str">
        <f t="shared" si="13"/>
        <v/>
      </c>
      <c r="G219" t="str">
        <f t="shared" si="14"/>
        <v/>
      </c>
      <c r="H219" s="188" t="str">
        <f>IF(DAY(B219)=15,IF(MONTH(B219)=1,"E",IF(MONTH(B219)=2,"F",IF(MONTH(B219)=3,"M",IF(MONTH(B219)=4,"A",IF(MONTH(B219)=5,"M",IF(MONTH(B219)=6,"J",IF(MONTH(B219)=7,"J",IF(MONTH(B219)=8,"A",IF(MONTH(B219)=9,"S",IF(MONTH(B219)=10,"O",IF(MONTH(B219)=11,"N",IF(MONTH(B219)=12,"D","")))))))))))),"")</f>
        <v>N</v>
      </c>
      <c r="I219" s="189">
        <f>IF(DAY(B219)=15,D219,"")</f>
        <v>82.040549235563063</v>
      </c>
    </row>
    <row r="220" spans="1:9">
      <c r="A220" s="187">
        <v>168</v>
      </c>
      <c r="B220" s="222">
        <v>45612</v>
      </c>
      <c r="C220" s="221">
        <v>58.901813425168335</v>
      </c>
      <c r="D220" s="221">
        <v>82.040549235563063</v>
      </c>
      <c r="E220" s="221">
        <f t="shared" si="12"/>
        <v>58.901813425168335</v>
      </c>
      <c r="F220" s="188" t="str">
        <f t="shared" si="13"/>
        <v/>
      </c>
      <c r="G220" t="str">
        <f t="shared" si="14"/>
        <v/>
      </c>
      <c r="H220" s="188" t="str">
        <f t="shared" si="15"/>
        <v/>
      </c>
      <c r="I220" s="189"/>
    </row>
    <row r="221" spans="1:9">
      <c r="A221" s="187">
        <v>169</v>
      </c>
      <c r="B221" s="222">
        <v>45613</v>
      </c>
      <c r="C221" s="221">
        <v>58.648718901168337</v>
      </c>
      <c r="D221" s="221">
        <v>82.040549235563063</v>
      </c>
      <c r="E221" s="221">
        <f t="shared" si="12"/>
        <v>58.648718901168337</v>
      </c>
      <c r="F221" s="188" t="str">
        <f t="shared" si="13"/>
        <v/>
      </c>
      <c r="G221" t="str">
        <f t="shared" si="14"/>
        <v/>
      </c>
      <c r="H221" s="188" t="str">
        <f t="shared" si="15"/>
        <v/>
      </c>
      <c r="I221" s="189"/>
    </row>
    <row r="222" spans="1:9">
      <c r="A222" s="187">
        <v>170</v>
      </c>
      <c r="B222" s="222">
        <v>45614</v>
      </c>
      <c r="C222" s="221">
        <v>72.756647989168343</v>
      </c>
      <c r="D222" s="221">
        <v>82.040549235563063</v>
      </c>
      <c r="E222" s="221">
        <f t="shared" si="12"/>
        <v>72.756647989168343</v>
      </c>
      <c r="F222" s="188" t="str">
        <f t="shared" si="13"/>
        <v/>
      </c>
      <c r="G222" t="str">
        <f t="shared" si="14"/>
        <v/>
      </c>
      <c r="H222" s="188" t="str">
        <f t="shared" si="15"/>
        <v/>
      </c>
      <c r="I222" s="189"/>
    </row>
    <row r="223" spans="1:9">
      <c r="A223" s="187">
        <v>171</v>
      </c>
      <c r="B223" s="222">
        <v>45615</v>
      </c>
      <c r="C223" s="221">
        <v>61.97943983716835</v>
      </c>
      <c r="D223" s="221">
        <v>82.040549235563063</v>
      </c>
      <c r="E223" s="221">
        <f t="shared" si="12"/>
        <v>61.97943983716835</v>
      </c>
      <c r="F223" s="188" t="str">
        <f t="shared" si="13"/>
        <v/>
      </c>
      <c r="G223" t="str">
        <f t="shared" si="14"/>
        <v/>
      </c>
      <c r="H223" s="188" t="str">
        <f t="shared" si="15"/>
        <v/>
      </c>
      <c r="I223" s="189"/>
    </row>
    <row r="224" spans="1:9">
      <c r="A224" s="187">
        <v>172</v>
      </c>
      <c r="B224" s="222">
        <v>45616</v>
      </c>
      <c r="C224" s="221">
        <v>57.658339443207119</v>
      </c>
      <c r="D224" s="221">
        <v>82.040549235563063</v>
      </c>
      <c r="E224" s="221">
        <f t="shared" si="12"/>
        <v>57.658339443207119</v>
      </c>
      <c r="F224" s="188" t="str">
        <f t="shared" si="13"/>
        <v/>
      </c>
      <c r="G224" t="str">
        <f t="shared" si="14"/>
        <v/>
      </c>
      <c r="H224" s="188" t="str">
        <f t="shared" si="15"/>
        <v/>
      </c>
      <c r="I224" s="189"/>
    </row>
    <row r="225" spans="1:9">
      <c r="A225" s="187">
        <v>173</v>
      </c>
      <c r="B225" s="222">
        <v>45617</v>
      </c>
      <c r="C225" s="221">
        <v>54.582812007208979</v>
      </c>
      <c r="D225" s="221">
        <v>82.040549235563063</v>
      </c>
      <c r="E225" s="221">
        <f t="shared" si="12"/>
        <v>54.582812007208979</v>
      </c>
      <c r="F225" s="188" t="str">
        <f t="shared" si="13"/>
        <v/>
      </c>
      <c r="G225" t="str">
        <f t="shared" si="14"/>
        <v/>
      </c>
      <c r="H225" s="188" t="str">
        <f t="shared" si="15"/>
        <v/>
      </c>
      <c r="I225" s="189"/>
    </row>
    <row r="226" spans="1:9">
      <c r="A226" s="187">
        <v>174</v>
      </c>
      <c r="B226" s="222">
        <v>45618</v>
      </c>
      <c r="C226" s="221">
        <v>77.586020579208977</v>
      </c>
      <c r="D226" s="221">
        <v>82.040549235563063</v>
      </c>
      <c r="E226" s="221">
        <f t="shared" si="12"/>
        <v>77.586020579208977</v>
      </c>
      <c r="F226" s="188" t="str">
        <f t="shared" si="13"/>
        <v/>
      </c>
      <c r="G226" t="str">
        <f t="shared" si="14"/>
        <v/>
      </c>
      <c r="H226" s="188" t="str">
        <f t="shared" si="15"/>
        <v/>
      </c>
      <c r="I226" s="189"/>
    </row>
    <row r="227" spans="1:9">
      <c r="A227" s="187">
        <v>175</v>
      </c>
      <c r="B227" s="222">
        <v>45619</v>
      </c>
      <c r="C227" s="221">
        <v>44.323642247205257</v>
      </c>
      <c r="D227" s="221">
        <v>82.040549235563063</v>
      </c>
      <c r="E227" s="221">
        <f t="shared" si="12"/>
        <v>44.323642247205257</v>
      </c>
      <c r="F227" s="188" t="str">
        <f t="shared" si="13"/>
        <v/>
      </c>
      <c r="G227" t="str">
        <f t="shared" si="14"/>
        <v/>
      </c>
      <c r="H227" s="188" t="str">
        <f t="shared" si="15"/>
        <v/>
      </c>
      <c r="I227" s="189"/>
    </row>
    <row r="228" spans="1:9">
      <c r="A228" s="187">
        <v>176</v>
      </c>
      <c r="B228" s="222">
        <v>45620</v>
      </c>
      <c r="C228" s="221">
        <v>44.593260563208986</v>
      </c>
      <c r="D228" s="221">
        <v>82.040549235563063</v>
      </c>
      <c r="E228" s="221">
        <f t="shared" si="12"/>
        <v>44.593260563208986</v>
      </c>
      <c r="F228" s="188" t="str">
        <f t="shared" si="13"/>
        <v/>
      </c>
      <c r="G228" t="str">
        <f t="shared" si="14"/>
        <v/>
      </c>
      <c r="H228" s="188" t="str">
        <f t="shared" si="15"/>
        <v/>
      </c>
      <c r="I228" s="189"/>
    </row>
    <row r="229" spans="1:9">
      <c r="A229" s="187">
        <v>177</v>
      </c>
      <c r="B229" s="222">
        <v>45621</v>
      </c>
      <c r="C229" s="221">
        <v>66.958570435208983</v>
      </c>
      <c r="D229" s="221">
        <v>82.040549235563063</v>
      </c>
      <c r="E229" s="221">
        <f t="shared" si="12"/>
        <v>66.958570435208983</v>
      </c>
      <c r="F229" s="188" t="str">
        <f t="shared" si="13"/>
        <v/>
      </c>
      <c r="G229" t="str">
        <f t="shared" si="14"/>
        <v/>
      </c>
      <c r="H229" s="188" t="str">
        <f t="shared" si="15"/>
        <v/>
      </c>
      <c r="I229" s="189"/>
    </row>
    <row r="230" spans="1:9">
      <c r="A230" s="187">
        <v>178</v>
      </c>
      <c r="B230" s="222">
        <v>45622</v>
      </c>
      <c r="C230" s="221">
        <v>92.805289711207124</v>
      </c>
      <c r="D230" s="221">
        <v>82.040549235563063</v>
      </c>
      <c r="E230" s="221">
        <f t="shared" si="12"/>
        <v>82.040549235563063</v>
      </c>
      <c r="F230" s="188" t="str">
        <f t="shared" si="13"/>
        <v/>
      </c>
      <c r="G230" t="str">
        <f t="shared" si="14"/>
        <v/>
      </c>
      <c r="H230" s="188" t="str">
        <f t="shared" si="15"/>
        <v/>
      </c>
      <c r="I230" s="189"/>
    </row>
    <row r="231" spans="1:9">
      <c r="A231" s="187">
        <v>179</v>
      </c>
      <c r="B231" s="222">
        <v>45623</v>
      </c>
      <c r="C231" s="221">
        <v>88.930039110948542</v>
      </c>
      <c r="D231" s="221">
        <v>82.040549235563063</v>
      </c>
      <c r="E231" s="221">
        <f t="shared" si="12"/>
        <v>82.040549235563063</v>
      </c>
      <c r="F231" s="188" t="str">
        <f t="shared" si="13"/>
        <v/>
      </c>
      <c r="G231" t="str">
        <f t="shared" si="14"/>
        <v/>
      </c>
      <c r="H231" s="188" t="str">
        <f t="shared" si="15"/>
        <v/>
      </c>
      <c r="I231" s="189"/>
    </row>
    <row r="232" spans="1:9">
      <c r="A232" s="187">
        <v>180</v>
      </c>
      <c r="B232" s="222">
        <v>45624</v>
      </c>
      <c r="C232" s="221">
        <v>87.891229222946663</v>
      </c>
      <c r="D232" s="221">
        <v>82.040549235563063</v>
      </c>
      <c r="E232" s="221">
        <f t="shared" si="12"/>
        <v>82.040549235563063</v>
      </c>
      <c r="F232" s="188" t="str">
        <f t="shared" si="13"/>
        <v/>
      </c>
      <c r="G232" t="str">
        <f t="shared" si="14"/>
        <v/>
      </c>
      <c r="H232" s="188" t="str">
        <f t="shared" si="15"/>
        <v/>
      </c>
      <c r="I232" s="189"/>
    </row>
    <row r="233" spans="1:9">
      <c r="A233" s="187">
        <v>181</v>
      </c>
      <c r="B233" s="222">
        <v>45625</v>
      </c>
      <c r="C233" s="221">
        <v>83.703371382946671</v>
      </c>
      <c r="D233" s="221">
        <v>82.040549235563063</v>
      </c>
      <c r="E233" s="221">
        <f t="shared" si="12"/>
        <v>82.040549235563063</v>
      </c>
      <c r="F233" s="188" t="str">
        <f t="shared" si="13"/>
        <v/>
      </c>
      <c r="G233" t="str">
        <f t="shared" si="14"/>
        <v/>
      </c>
      <c r="H233" s="188" t="str">
        <f t="shared" si="15"/>
        <v/>
      </c>
      <c r="I233" s="189"/>
    </row>
    <row r="234" spans="1:9">
      <c r="A234" s="187">
        <v>182</v>
      </c>
      <c r="B234" s="222">
        <v>45626</v>
      </c>
      <c r="C234" s="221">
        <v>75.625630506946678</v>
      </c>
      <c r="D234" s="221">
        <v>82.040549235563063</v>
      </c>
      <c r="E234" s="221">
        <f t="shared" si="12"/>
        <v>75.625630506946678</v>
      </c>
      <c r="F234" s="188" t="str">
        <f t="shared" si="13"/>
        <v/>
      </c>
      <c r="G234" t="str">
        <f t="shared" si="14"/>
        <v/>
      </c>
      <c r="H234" s="188" t="str">
        <f t="shared" si="15"/>
        <v/>
      </c>
      <c r="I234" s="189"/>
    </row>
    <row r="235" spans="1:9">
      <c r="A235" s="187">
        <v>183</v>
      </c>
      <c r="B235" s="222">
        <v>45627</v>
      </c>
      <c r="C235" s="221">
        <v>83.340873374948544</v>
      </c>
      <c r="D235" s="221">
        <v>104.34579689704225</v>
      </c>
      <c r="E235" s="221">
        <f t="shared" si="12"/>
        <v>83.340873374948544</v>
      </c>
      <c r="F235" s="188">
        <f t="shared" si="13"/>
        <v>600</v>
      </c>
      <c r="G235" t="str">
        <f t="shared" si="14"/>
        <v/>
      </c>
      <c r="H235" s="188" t="str">
        <f t="shared" si="15"/>
        <v/>
      </c>
      <c r="I235" s="189"/>
    </row>
    <row r="236" spans="1:9">
      <c r="A236" s="187">
        <v>184</v>
      </c>
      <c r="B236" s="222">
        <v>45628</v>
      </c>
      <c r="C236" s="221">
        <v>89.493504218946683</v>
      </c>
      <c r="D236" s="221">
        <v>104.34579689704225</v>
      </c>
      <c r="E236" s="221">
        <f t="shared" si="12"/>
        <v>89.493504218946683</v>
      </c>
      <c r="F236" s="188" t="str">
        <f t="shared" si="13"/>
        <v/>
      </c>
      <c r="G236" t="str">
        <f>IF(MONTH(B236)=1,IF(DAY(B236)=1,YEAR(B236),""),"")</f>
        <v/>
      </c>
      <c r="H236" s="188" t="str">
        <f t="shared" si="15"/>
        <v/>
      </c>
      <c r="I236" s="189"/>
    </row>
    <row r="237" spans="1:9">
      <c r="A237" s="187">
        <v>185</v>
      </c>
      <c r="B237" s="222">
        <v>45629</v>
      </c>
      <c r="C237" s="221">
        <v>85.292821534948544</v>
      </c>
      <c r="D237" s="221">
        <v>104.34579689704225</v>
      </c>
      <c r="E237" s="221">
        <f t="shared" si="12"/>
        <v>85.292821534948544</v>
      </c>
      <c r="F237" s="188" t="str">
        <f t="shared" si="13"/>
        <v/>
      </c>
      <c r="G237" t="str">
        <f t="shared" si="14"/>
        <v/>
      </c>
      <c r="H237" s="188" t="str">
        <f t="shared" si="15"/>
        <v/>
      </c>
      <c r="I237" s="189"/>
    </row>
    <row r="238" spans="1:9">
      <c r="A238" s="187">
        <v>186</v>
      </c>
      <c r="B238" s="222">
        <v>45630</v>
      </c>
      <c r="C238" s="221">
        <v>79.073749727937155</v>
      </c>
      <c r="D238" s="221">
        <v>104.34579689704225</v>
      </c>
      <c r="E238" s="221">
        <f t="shared" si="12"/>
        <v>79.073749727937155</v>
      </c>
      <c r="F238" s="188" t="str">
        <f t="shared" si="13"/>
        <v/>
      </c>
      <c r="G238" t="str">
        <f t="shared" si="14"/>
        <v/>
      </c>
      <c r="H238" s="188" t="str">
        <f t="shared" si="15"/>
        <v/>
      </c>
      <c r="I238" s="189"/>
    </row>
    <row r="239" spans="1:9">
      <c r="A239" s="187">
        <v>187</v>
      </c>
      <c r="B239" s="222">
        <v>45631</v>
      </c>
      <c r="C239" s="221">
        <v>78.918242007935291</v>
      </c>
      <c r="D239" s="221">
        <v>104.34579689704225</v>
      </c>
      <c r="E239" s="221">
        <f t="shared" si="12"/>
        <v>78.918242007935291</v>
      </c>
      <c r="F239" s="188" t="str">
        <f t="shared" si="13"/>
        <v/>
      </c>
      <c r="G239" t="str">
        <f t="shared" si="14"/>
        <v/>
      </c>
      <c r="H239" s="188" t="str">
        <f t="shared" si="15"/>
        <v/>
      </c>
      <c r="I239" s="189"/>
    </row>
    <row r="240" spans="1:9">
      <c r="A240" s="187">
        <v>188</v>
      </c>
      <c r="B240" s="222">
        <v>45632</v>
      </c>
      <c r="C240" s="221">
        <v>64.075719263935298</v>
      </c>
      <c r="D240" s="221">
        <v>104.34579689704225</v>
      </c>
      <c r="E240" s="221">
        <f t="shared" si="12"/>
        <v>64.075719263935298</v>
      </c>
      <c r="F240" s="188" t="str">
        <f t="shared" si="13"/>
        <v/>
      </c>
      <c r="G240" t="str">
        <f t="shared" si="14"/>
        <v/>
      </c>
      <c r="H240" s="188" t="str">
        <f t="shared" si="15"/>
        <v/>
      </c>
      <c r="I240" s="189"/>
    </row>
    <row r="241" spans="1:9">
      <c r="A241" s="187">
        <v>189</v>
      </c>
      <c r="B241" s="222">
        <v>45633</v>
      </c>
      <c r="C241" s="221">
        <v>40.149759339937155</v>
      </c>
      <c r="D241" s="221">
        <v>104.34579689704225</v>
      </c>
      <c r="E241" s="221">
        <f t="shared" si="12"/>
        <v>40.149759339937155</v>
      </c>
      <c r="F241" s="188" t="str">
        <f t="shared" si="13"/>
        <v/>
      </c>
      <c r="G241" t="str">
        <f t="shared" si="14"/>
        <v/>
      </c>
      <c r="H241" s="188" t="str">
        <f t="shared" si="15"/>
        <v/>
      </c>
      <c r="I241" s="189"/>
    </row>
    <row r="242" spans="1:9">
      <c r="A242" s="187">
        <v>190</v>
      </c>
      <c r="B242" s="222">
        <v>45634</v>
      </c>
      <c r="C242" s="221">
        <v>38.793037971937153</v>
      </c>
      <c r="D242" s="221">
        <v>104.34579689704225</v>
      </c>
      <c r="E242" s="221">
        <f t="shared" si="12"/>
        <v>38.793037971937153</v>
      </c>
      <c r="F242" s="188" t="str">
        <f t="shared" si="13"/>
        <v/>
      </c>
      <c r="G242" t="str">
        <f t="shared" si="14"/>
        <v/>
      </c>
      <c r="H242" s="188" t="str">
        <f t="shared" si="15"/>
        <v/>
      </c>
      <c r="I242" s="189"/>
    </row>
    <row r="243" spans="1:9">
      <c r="A243" s="187">
        <v>191</v>
      </c>
      <c r="B243" s="222">
        <v>45635</v>
      </c>
      <c r="C243" s="221">
        <v>63.311381991937154</v>
      </c>
      <c r="D243" s="221">
        <v>104.34579689704225</v>
      </c>
      <c r="E243" s="221">
        <f t="shared" si="12"/>
        <v>63.311381991937154</v>
      </c>
      <c r="F243" s="188" t="str">
        <f t="shared" si="13"/>
        <v/>
      </c>
      <c r="G243" t="str">
        <f t="shared" si="14"/>
        <v/>
      </c>
      <c r="H243" s="188" t="str">
        <f t="shared" si="15"/>
        <v/>
      </c>
      <c r="I243" s="189"/>
    </row>
    <row r="244" spans="1:9">
      <c r="A244" s="187">
        <v>192</v>
      </c>
      <c r="B244" s="222">
        <v>45636</v>
      </c>
      <c r="C244" s="221">
        <v>102.48415081593529</v>
      </c>
      <c r="D244" s="221">
        <v>104.34579689704225</v>
      </c>
      <c r="E244" s="221">
        <f t="shared" ref="E244:E307" si="16">IF(C244&lt;D244,C244,D244)</f>
        <v>102.48415081593529</v>
      </c>
      <c r="F244" s="188" t="str">
        <f t="shared" ref="F244:F307" si="17">IF(DAY(B244)=1,600,"")</f>
        <v/>
      </c>
      <c r="G244" t="str">
        <f t="shared" si="14"/>
        <v/>
      </c>
      <c r="H244" s="188" t="str">
        <f t="shared" si="15"/>
        <v/>
      </c>
      <c r="I244" s="189"/>
    </row>
    <row r="245" spans="1:9">
      <c r="A245" s="187">
        <v>193</v>
      </c>
      <c r="B245" s="222">
        <v>45637</v>
      </c>
      <c r="C245" s="221">
        <v>108.21798146243319</v>
      </c>
      <c r="D245" s="221">
        <v>104.34579689704225</v>
      </c>
      <c r="E245" s="221">
        <f t="shared" si="16"/>
        <v>104.34579689704225</v>
      </c>
      <c r="F245" s="188" t="str">
        <f t="shared" si="17"/>
        <v/>
      </c>
      <c r="G245" t="str">
        <f t="shared" si="14"/>
        <v/>
      </c>
      <c r="H245" s="188" t="str">
        <f t="shared" si="15"/>
        <v/>
      </c>
      <c r="I245" s="189"/>
    </row>
    <row r="246" spans="1:9">
      <c r="A246" s="187">
        <v>194</v>
      </c>
      <c r="B246" s="222">
        <v>45638</v>
      </c>
      <c r="C246" s="221">
        <v>113.79107090243134</v>
      </c>
      <c r="D246" s="221">
        <v>104.34579689704225</v>
      </c>
      <c r="E246" s="221">
        <f t="shared" si="16"/>
        <v>104.34579689704225</v>
      </c>
      <c r="F246" s="188" t="str">
        <f t="shared" si="17"/>
        <v/>
      </c>
      <c r="G246" t="str">
        <f t="shared" ref="G246:G309" si="18">IF(MONTH(B246)=1,IF(DAY(B246)=1,YEAR(B246),""),"")</f>
        <v/>
      </c>
      <c r="H246" s="188" t="str">
        <f t="shared" si="15"/>
        <v/>
      </c>
      <c r="I246" s="189"/>
    </row>
    <row r="247" spans="1:9">
      <c r="A247" s="187">
        <v>195</v>
      </c>
      <c r="B247" s="222">
        <v>45639</v>
      </c>
      <c r="C247" s="221">
        <v>110.81075029043133</v>
      </c>
      <c r="D247" s="221">
        <v>104.34579689704225</v>
      </c>
      <c r="E247" s="221">
        <f t="shared" si="16"/>
        <v>104.34579689704225</v>
      </c>
      <c r="F247" s="188" t="str">
        <f t="shared" si="17"/>
        <v/>
      </c>
      <c r="G247" t="str">
        <f t="shared" si="18"/>
        <v/>
      </c>
      <c r="H247" s="188" t="str">
        <f t="shared" si="15"/>
        <v/>
      </c>
      <c r="I247" s="189"/>
    </row>
    <row r="248" spans="1:9">
      <c r="A248" s="187">
        <v>196</v>
      </c>
      <c r="B248" s="222">
        <v>45640</v>
      </c>
      <c r="C248" s="221">
        <v>80.217872350431335</v>
      </c>
      <c r="D248" s="221">
        <v>104.34579689704225</v>
      </c>
      <c r="E248" s="221">
        <f t="shared" si="16"/>
        <v>80.217872350431335</v>
      </c>
      <c r="F248" s="188" t="str">
        <f t="shared" si="17"/>
        <v/>
      </c>
      <c r="G248" t="str">
        <f t="shared" si="18"/>
        <v/>
      </c>
      <c r="H248" s="188" t="str">
        <f>IF(DAY(B248)=15,IF(MONTH(B248)=1,"E",IF(MONTH(B248)=2,"F",IF(MONTH(B248)=3,"M",IF(MONTH(B248)=4,"A",IF(MONTH(B248)=5,"M",IF(MONTH(B248)=6,"J",IF(MONTH(B248)=7,"J",IF(MONTH(B248)=8,"A",IF(MONTH(B248)=9,"S",IF(MONTH(B248)=10,"O",IF(MONTH(B248)=11,"N",IF(MONTH(B248)=12,"D","")))))))))))),"")</f>
        <v/>
      </c>
      <c r="I248" s="189"/>
    </row>
    <row r="249" spans="1:9">
      <c r="A249" s="187">
        <v>197</v>
      </c>
      <c r="B249" s="222">
        <v>45641</v>
      </c>
      <c r="C249" s="221">
        <v>39.711118074433195</v>
      </c>
      <c r="D249" s="221">
        <v>104.34579689704225</v>
      </c>
      <c r="E249" s="221">
        <f t="shared" si="16"/>
        <v>39.711118074433195</v>
      </c>
      <c r="F249" s="188" t="str">
        <f t="shared" si="17"/>
        <v/>
      </c>
      <c r="G249" t="str">
        <f t="shared" si="18"/>
        <v/>
      </c>
      <c r="H249" s="188" t="str">
        <f>IF(DAY(B249)=15,IF(MONTH(B249)=1,"E",IF(MONTH(B249)=2,"F",IF(MONTH(B249)=3,"M",IF(MONTH(B249)=4,"A",IF(MONTH(B249)=5,"M",IF(MONTH(B249)=6,"J",IF(MONTH(B249)=7,"J",IF(MONTH(B249)=8,"A",IF(MONTH(B249)=9,"S",IF(MONTH(B249)=10,"O",IF(MONTH(B249)=11,"N",IF(MONTH(B249)=12,"D","")))))))))))),"")</f>
        <v>D</v>
      </c>
      <c r="I249" s="189">
        <f>IF(DAY(B249)=15,D249,"")</f>
        <v>104.34579689704225</v>
      </c>
    </row>
    <row r="250" spans="1:9">
      <c r="A250" s="187">
        <v>198</v>
      </c>
      <c r="B250" s="222">
        <v>45642</v>
      </c>
      <c r="C250" s="221">
        <v>64.083001914433197</v>
      </c>
      <c r="D250" s="221">
        <v>104.34579689704225</v>
      </c>
      <c r="E250" s="221">
        <f t="shared" si="16"/>
        <v>64.083001914433197</v>
      </c>
      <c r="F250" s="188" t="str">
        <f t="shared" si="17"/>
        <v/>
      </c>
      <c r="G250" t="str">
        <f t="shared" si="18"/>
        <v/>
      </c>
      <c r="H250" s="188" t="str">
        <f>IF(DAY(B250)=15,IF(MONTH(B250)=1,"E",IF(MONTH(B250)=2,"F",IF(MONTH(B250)=3,"M",IF(MONTH(B250)=4,"A",IF(MONTH(B250)=5,"M",IF(MONTH(B250)=6,"J",IF(MONTH(B250)=7,"J",IF(MONTH(B250)=8,"A",IF(MONTH(B250)=9,"S",IF(MONTH(B250)=10,"O",IF(MONTH(B250)=11,"N",IF(MONTH(B250)=12,"D","")))))))))))),"")</f>
        <v/>
      </c>
      <c r="I250" s="189"/>
    </row>
    <row r="251" spans="1:9">
      <c r="A251" s="187">
        <v>199</v>
      </c>
      <c r="B251" s="222">
        <v>45643</v>
      </c>
      <c r="C251" s="221">
        <v>70.465533982431324</v>
      </c>
      <c r="D251" s="221">
        <v>104.34579689704225</v>
      </c>
      <c r="E251" s="221">
        <f t="shared" si="16"/>
        <v>70.465533982431324</v>
      </c>
      <c r="F251" s="188" t="str">
        <f t="shared" si="17"/>
        <v/>
      </c>
      <c r="G251" t="str">
        <f t="shared" si="18"/>
        <v/>
      </c>
      <c r="H251" s="188" t="str">
        <f t="shared" si="15"/>
        <v/>
      </c>
      <c r="I251" s="189"/>
    </row>
    <row r="252" spans="1:9">
      <c r="A252" s="187">
        <v>200</v>
      </c>
      <c r="B252" s="222">
        <v>45644</v>
      </c>
      <c r="C252" s="221">
        <v>92.589848698818443</v>
      </c>
      <c r="D252" s="221">
        <v>104.34579689704225</v>
      </c>
      <c r="E252" s="221">
        <f t="shared" si="16"/>
        <v>92.589848698818443</v>
      </c>
      <c r="F252" s="188" t="str">
        <f t="shared" si="17"/>
        <v/>
      </c>
      <c r="G252" t="str">
        <f t="shared" si="18"/>
        <v/>
      </c>
      <c r="H252" s="188" t="str">
        <f t="shared" si="15"/>
        <v/>
      </c>
      <c r="I252" s="189"/>
    </row>
    <row r="253" spans="1:9">
      <c r="A253" s="187">
        <v>201</v>
      </c>
      <c r="B253" s="222">
        <v>45645</v>
      </c>
      <c r="C253" s="221">
        <v>75.700622666816571</v>
      </c>
      <c r="D253" s="221">
        <v>104.34579689704225</v>
      </c>
      <c r="E253" s="221">
        <f t="shared" si="16"/>
        <v>75.700622666816571</v>
      </c>
      <c r="F253" s="188" t="str">
        <f t="shared" si="17"/>
        <v/>
      </c>
      <c r="G253" t="str">
        <f t="shared" si="18"/>
        <v/>
      </c>
      <c r="H253" s="188" t="str">
        <f t="shared" si="15"/>
        <v/>
      </c>
      <c r="I253" s="189"/>
    </row>
    <row r="254" spans="1:9">
      <c r="A254" s="187">
        <v>202</v>
      </c>
      <c r="B254" s="222">
        <v>45646</v>
      </c>
      <c r="C254" s="221">
        <v>92.443503002818446</v>
      </c>
      <c r="D254" s="221">
        <v>104.34579689704225</v>
      </c>
      <c r="E254" s="221">
        <f t="shared" si="16"/>
        <v>92.443503002818446</v>
      </c>
      <c r="F254" s="188" t="str">
        <f t="shared" si="17"/>
        <v/>
      </c>
      <c r="G254" t="str">
        <f t="shared" si="18"/>
        <v/>
      </c>
      <c r="H254" s="188" t="str">
        <f t="shared" si="15"/>
        <v/>
      </c>
      <c r="I254" s="189"/>
    </row>
    <row r="255" spans="1:9">
      <c r="A255" s="187">
        <v>203</v>
      </c>
      <c r="B255" s="222">
        <v>45647</v>
      </c>
      <c r="C255" s="221">
        <v>78.194941970816586</v>
      </c>
      <c r="D255" s="221">
        <v>104.34579689704225</v>
      </c>
      <c r="E255" s="221">
        <f t="shared" si="16"/>
        <v>78.194941970816586</v>
      </c>
      <c r="F255" s="188" t="str">
        <f t="shared" si="17"/>
        <v/>
      </c>
      <c r="G255" t="str">
        <f t="shared" si="18"/>
        <v/>
      </c>
      <c r="H255" s="188" t="str">
        <f t="shared" si="15"/>
        <v/>
      </c>
      <c r="I255" s="189"/>
    </row>
    <row r="256" spans="1:9">
      <c r="A256" s="187">
        <v>204</v>
      </c>
      <c r="B256" s="222">
        <v>45648</v>
      </c>
      <c r="C256" s="221">
        <v>61.788172530818443</v>
      </c>
      <c r="D256" s="221">
        <v>104.34579689704225</v>
      </c>
      <c r="E256" s="221">
        <f t="shared" si="16"/>
        <v>61.788172530818443</v>
      </c>
      <c r="F256" s="188" t="str">
        <f t="shared" si="17"/>
        <v/>
      </c>
      <c r="G256" t="str">
        <f t="shared" si="18"/>
        <v/>
      </c>
      <c r="H256" s="188" t="str">
        <f t="shared" si="15"/>
        <v/>
      </c>
      <c r="I256" s="189"/>
    </row>
    <row r="257" spans="1:9">
      <c r="A257" s="187">
        <v>205</v>
      </c>
      <c r="B257" s="222">
        <v>45649</v>
      </c>
      <c r="C257" s="221">
        <v>57.373573711818437</v>
      </c>
      <c r="D257" s="221">
        <v>104.34579689704225</v>
      </c>
      <c r="E257" s="221">
        <f t="shared" si="16"/>
        <v>57.373573711818437</v>
      </c>
      <c r="F257" s="188" t="str">
        <f t="shared" si="17"/>
        <v/>
      </c>
      <c r="G257" t="str">
        <f t="shared" si="18"/>
        <v/>
      </c>
      <c r="H257" s="188" t="str">
        <f t="shared" si="15"/>
        <v/>
      </c>
      <c r="I257" s="189"/>
    </row>
    <row r="258" spans="1:9">
      <c r="A258" s="187">
        <v>206</v>
      </c>
      <c r="B258" s="222">
        <v>45650</v>
      </c>
      <c r="C258" s="221">
        <v>52.435381449816582</v>
      </c>
      <c r="D258" s="221">
        <v>104.34579689704225</v>
      </c>
      <c r="E258" s="221">
        <f t="shared" si="16"/>
        <v>52.435381449816582</v>
      </c>
      <c r="F258" s="188" t="str">
        <f t="shared" si="17"/>
        <v/>
      </c>
      <c r="G258" t="str">
        <f t="shared" si="18"/>
        <v/>
      </c>
      <c r="H258" s="188" t="str">
        <f t="shared" si="15"/>
        <v/>
      </c>
      <c r="I258" s="189"/>
    </row>
    <row r="259" spans="1:9">
      <c r="A259" s="187">
        <v>207</v>
      </c>
      <c r="B259" s="222">
        <v>45651</v>
      </c>
      <c r="C259" s="221">
        <v>61.070524667621214</v>
      </c>
      <c r="D259" s="221">
        <v>104.34579689704225</v>
      </c>
      <c r="E259" s="221">
        <f t="shared" si="16"/>
        <v>61.070524667621214</v>
      </c>
      <c r="F259" s="188" t="str">
        <f t="shared" si="17"/>
        <v/>
      </c>
      <c r="G259" t="str">
        <f t="shared" si="18"/>
        <v/>
      </c>
      <c r="H259" s="188" t="str">
        <f t="shared" ref="H259:H322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I259" s="189"/>
    </row>
    <row r="260" spans="1:9">
      <c r="A260" s="187">
        <v>208</v>
      </c>
      <c r="B260" s="222">
        <v>45652</v>
      </c>
      <c r="C260" s="221">
        <v>89.444197123621208</v>
      </c>
      <c r="D260" s="221">
        <v>104.34579689704225</v>
      </c>
      <c r="E260" s="221">
        <f t="shared" si="16"/>
        <v>89.444197123621208</v>
      </c>
      <c r="F260" s="188" t="str">
        <f t="shared" si="17"/>
        <v/>
      </c>
      <c r="G260" t="str">
        <f t="shared" si="18"/>
        <v/>
      </c>
      <c r="H260" s="188" t="str">
        <f t="shared" si="19"/>
        <v/>
      </c>
      <c r="I260" s="189"/>
    </row>
    <row r="261" spans="1:9">
      <c r="A261" s="187">
        <v>209</v>
      </c>
      <c r="B261" s="222">
        <v>45653</v>
      </c>
      <c r="C261" s="221">
        <v>90.757717751621215</v>
      </c>
      <c r="D261" s="221">
        <v>104.34579689704225</v>
      </c>
      <c r="E261" s="221">
        <f t="shared" si="16"/>
        <v>90.757717751621215</v>
      </c>
      <c r="F261" s="188" t="str">
        <f t="shared" si="17"/>
        <v/>
      </c>
      <c r="G261" t="str">
        <f t="shared" si="18"/>
        <v/>
      </c>
      <c r="H261" s="188" t="str">
        <f t="shared" si="19"/>
        <v/>
      </c>
      <c r="I261" s="189"/>
    </row>
    <row r="262" spans="1:9">
      <c r="A262" s="187">
        <v>210</v>
      </c>
      <c r="B262" s="222">
        <v>45654</v>
      </c>
      <c r="C262" s="221">
        <v>93.634406132621208</v>
      </c>
      <c r="D262" s="221">
        <v>104.34579689704225</v>
      </c>
      <c r="E262" s="221">
        <f t="shared" si="16"/>
        <v>93.634406132621208</v>
      </c>
      <c r="F262" s="188" t="str">
        <f t="shared" si="17"/>
        <v/>
      </c>
      <c r="G262" t="str">
        <f t="shared" si="18"/>
        <v/>
      </c>
      <c r="H262" s="188" t="str">
        <f t="shared" si="19"/>
        <v/>
      </c>
      <c r="I262" s="189"/>
    </row>
    <row r="263" spans="1:9">
      <c r="A263" s="187">
        <v>211</v>
      </c>
      <c r="B263" s="222">
        <v>45655</v>
      </c>
      <c r="C263" s="221">
        <v>85.876438035621206</v>
      </c>
      <c r="D263" s="221">
        <v>104.34579689704225</v>
      </c>
      <c r="E263" s="221">
        <f t="shared" si="16"/>
        <v>85.876438035621206</v>
      </c>
      <c r="F263" s="188" t="str">
        <f t="shared" si="17"/>
        <v/>
      </c>
      <c r="G263" t="str">
        <f t="shared" si="18"/>
        <v/>
      </c>
      <c r="H263" s="188" t="str">
        <f t="shared" si="19"/>
        <v/>
      </c>
      <c r="I263" s="189"/>
    </row>
    <row r="264" spans="1:9">
      <c r="A264" s="187">
        <v>212</v>
      </c>
      <c r="B264" s="222">
        <v>45656</v>
      </c>
      <c r="C264" s="221">
        <v>98.537026639621203</v>
      </c>
      <c r="D264" s="221">
        <v>104.34579689704225</v>
      </c>
      <c r="E264" s="221">
        <f t="shared" si="16"/>
        <v>98.537026639621203</v>
      </c>
      <c r="F264" s="188" t="str">
        <f t="shared" si="17"/>
        <v/>
      </c>
      <c r="G264" t="str">
        <f t="shared" si="18"/>
        <v/>
      </c>
      <c r="H264" s="188" t="str">
        <f t="shared" si="19"/>
        <v/>
      </c>
      <c r="I264" s="189"/>
    </row>
    <row r="265" spans="1:9">
      <c r="A265" s="187">
        <v>213</v>
      </c>
      <c r="B265" s="222">
        <v>45657</v>
      </c>
      <c r="C265" s="221">
        <v>93.20605021562308</v>
      </c>
      <c r="D265" s="221">
        <v>104.34579689704225</v>
      </c>
      <c r="E265" s="221">
        <f t="shared" si="16"/>
        <v>93.20605021562308</v>
      </c>
      <c r="F265" s="188" t="str">
        <f t="shared" si="17"/>
        <v/>
      </c>
      <c r="G265" t="str">
        <f t="shared" si="18"/>
        <v/>
      </c>
      <c r="H265" s="188" t="str">
        <f t="shared" si="19"/>
        <v/>
      </c>
      <c r="I265" s="189"/>
    </row>
    <row r="266" spans="1:9">
      <c r="A266" s="187">
        <v>214</v>
      </c>
      <c r="B266" s="222">
        <v>45658</v>
      </c>
      <c r="C266" s="221">
        <v>53.986044277254123</v>
      </c>
      <c r="D266" s="221">
        <v>119.24912559323448</v>
      </c>
      <c r="E266" s="221">
        <f t="shared" si="16"/>
        <v>53.986044277254123</v>
      </c>
      <c r="F266" s="188">
        <f t="shared" si="17"/>
        <v>600</v>
      </c>
      <c r="G266">
        <f t="shared" si="18"/>
        <v>2025</v>
      </c>
      <c r="H266" s="188" t="str">
        <f t="shared" si="19"/>
        <v/>
      </c>
      <c r="I266" s="189"/>
    </row>
    <row r="267" spans="1:9">
      <c r="A267" s="187">
        <v>215</v>
      </c>
      <c r="B267" s="222">
        <v>45659</v>
      </c>
      <c r="C267" s="221">
        <v>69.503196627254113</v>
      </c>
      <c r="D267" s="221">
        <v>119.24912559323448</v>
      </c>
      <c r="E267" s="221">
        <f t="shared" si="16"/>
        <v>69.503196627254113</v>
      </c>
      <c r="F267" s="188" t="str">
        <f t="shared" si="17"/>
        <v/>
      </c>
      <c r="G267" t="str">
        <f t="shared" si="18"/>
        <v/>
      </c>
      <c r="H267" s="188" t="str">
        <f t="shared" si="19"/>
        <v/>
      </c>
      <c r="I267" s="189"/>
    </row>
    <row r="268" spans="1:9">
      <c r="A268" s="187">
        <v>216</v>
      </c>
      <c r="B268" s="222">
        <v>45660</v>
      </c>
      <c r="C268" s="221">
        <v>66.45143115325412</v>
      </c>
      <c r="D268" s="221">
        <v>119.24912559323448</v>
      </c>
      <c r="E268" s="221">
        <f t="shared" si="16"/>
        <v>66.45143115325412</v>
      </c>
      <c r="F268" s="188" t="str">
        <f t="shared" si="17"/>
        <v/>
      </c>
      <c r="G268" t="str">
        <f t="shared" si="18"/>
        <v/>
      </c>
      <c r="H268" s="188" t="str">
        <f t="shared" si="19"/>
        <v/>
      </c>
      <c r="I268" s="189"/>
    </row>
    <row r="269" spans="1:9">
      <c r="A269" s="187">
        <v>217</v>
      </c>
      <c r="B269" s="222">
        <v>45661</v>
      </c>
      <c r="C269" s="221">
        <v>75.53262317825785</v>
      </c>
      <c r="D269" s="221">
        <v>119.24912559323448</v>
      </c>
      <c r="E269" s="221">
        <f t="shared" si="16"/>
        <v>75.53262317825785</v>
      </c>
      <c r="F269" s="188" t="str">
        <f t="shared" si="17"/>
        <v/>
      </c>
      <c r="G269" t="str">
        <f t="shared" si="18"/>
        <v/>
      </c>
      <c r="H269" s="188" t="str">
        <f t="shared" si="19"/>
        <v/>
      </c>
      <c r="I269" s="189"/>
    </row>
    <row r="270" spans="1:9">
      <c r="A270" s="187">
        <v>218</v>
      </c>
      <c r="B270" s="222">
        <v>45662</v>
      </c>
      <c r="C270" s="221">
        <v>41.699737590254124</v>
      </c>
      <c r="D270" s="221">
        <v>119.24912559323448</v>
      </c>
      <c r="E270" s="221">
        <f t="shared" si="16"/>
        <v>41.699737590254124</v>
      </c>
      <c r="F270" s="188" t="str">
        <f t="shared" si="17"/>
        <v/>
      </c>
      <c r="G270" t="str">
        <f t="shared" si="18"/>
        <v/>
      </c>
      <c r="H270" s="188" t="str">
        <f t="shared" si="19"/>
        <v/>
      </c>
      <c r="I270" s="189"/>
    </row>
    <row r="271" spans="1:9">
      <c r="A271" s="187">
        <v>219</v>
      </c>
      <c r="B271" s="222">
        <v>45663</v>
      </c>
      <c r="C271" s="221">
        <v>49.457396382254124</v>
      </c>
      <c r="D271" s="221">
        <v>119.24912559323448</v>
      </c>
      <c r="E271" s="221">
        <f t="shared" si="16"/>
        <v>49.457396382254124</v>
      </c>
      <c r="F271" s="188" t="str">
        <f t="shared" si="17"/>
        <v/>
      </c>
      <c r="G271" t="str">
        <f t="shared" si="18"/>
        <v/>
      </c>
      <c r="H271" s="188" t="str">
        <f t="shared" si="19"/>
        <v/>
      </c>
      <c r="I271" s="189"/>
    </row>
    <row r="272" spans="1:9">
      <c r="A272" s="187">
        <v>220</v>
      </c>
      <c r="B272" s="222">
        <v>45664</v>
      </c>
      <c r="C272" s="221">
        <v>67.336947990255979</v>
      </c>
      <c r="D272" s="221">
        <v>119.24912559323448</v>
      </c>
      <c r="E272" s="221">
        <f t="shared" si="16"/>
        <v>67.336947990255979</v>
      </c>
      <c r="F272" s="188" t="str">
        <f t="shared" si="17"/>
        <v/>
      </c>
      <c r="G272" t="str">
        <f t="shared" si="18"/>
        <v/>
      </c>
      <c r="H272" s="188" t="str">
        <f t="shared" si="19"/>
        <v/>
      </c>
      <c r="I272" s="189"/>
    </row>
    <row r="273" spans="1:9">
      <c r="A273" s="187">
        <v>221</v>
      </c>
      <c r="B273" s="222">
        <v>45665</v>
      </c>
      <c r="C273" s="221">
        <v>136.78668112135671</v>
      </c>
      <c r="D273" s="221">
        <v>119.24912559323448</v>
      </c>
      <c r="E273" s="221">
        <f t="shared" si="16"/>
        <v>119.24912559323448</v>
      </c>
      <c r="F273" s="188" t="str">
        <f t="shared" si="17"/>
        <v/>
      </c>
      <c r="G273" t="str">
        <f t="shared" si="18"/>
        <v/>
      </c>
      <c r="H273" s="188" t="str">
        <f t="shared" si="19"/>
        <v/>
      </c>
      <c r="I273" s="189"/>
    </row>
    <row r="274" spans="1:9">
      <c r="A274" s="187">
        <v>222</v>
      </c>
      <c r="B274" s="222">
        <v>45666</v>
      </c>
      <c r="C274" s="221">
        <v>137.42684952435485</v>
      </c>
      <c r="D274" s="221">
        <v>119.24912559323448</v>
      </c>
      <c r="E274" s="221">
        <f t="shared" si="16"/>
        <v>119.24912559323448</v>
      </c>
      <c r="F274" s="188" t="str">
        <f t="shared" si="17"/>
        <v/>
      </c>
      <c r="G274" t="str">
        <f t="shared" si="18"/>
        <v/>
      </c>
      <c r="H274" s="188" t="str">
        <f t="shared" si="19"/>
        <v/>
      </c>
      <c r="I274" s="189"/>
    </row>
    <row r="275" spans="1:9">
      <c r="A275" s="187">
        <v>223</v>
      </c>
      <c r="B275" s="222">
        <v>45667</v>
      </c>
      <c r="C275" s="221">
        <v>161.00422858735669</v>
      </c>
      <c r="D275" s="221">
        <v>119.24912559323448</v>
      </c>
      <c r="E275" s="221">
        <f t="shared" si="16"/>
        <v>119.24912559323448</v>
      </c>
      <c r="F275" s="188" t="str">
        <f t="shared" si="17"/>
        <v/>
      </c>
      <c r="G275" t="str">
        <f t="shared" si="18"/>
        <v/>
      </c>
      <c r="H275" s="188" t="str">
        <f t="shared" si="19"/>
        <v/>
      </c>
      <c r="I275" s="189"/>
    </row>
    <row r="276" spans="1:9">
      <c r="A276" s="187">
        <v>224</v>
      </c>
      <c r="B276" s="222">
        <v>45668</v>
      </c>
      <c r="C276" s="221">
        <v>126.4835311443567</v>
      </c>
      <c r="D276" s="221">
        <v>119.24912559323448</v>
      </c>
      <c r="E276" s="221">
        <f t="shared" si="16"/>
        <v>119.24912559323448</v>
      </c>
      <c r="F276" s="188" t="str">
        <f t="shared" si="17"/>
        <v/>
      </c>
      <c r="G276" t="str">
        <f t="shared" si="18"/>
        <v/>
      </c>
      <c r="H276" s="188" t="str">
        <f t="shared" si="19"/>
        <v/>
      </c>
      <c r="I276" s="189"/>
    </row>
    <row r="277" spans="1:9">
      <c r="A277" s="187">
        <v>225</v>
      </c>
      <c r="B277" s="222">
        <v>45669</v>
      </c>
      <c r="C277" s="221">
        <v>111.62172161635669</v>
      </c>
      <c r="D277" s="221">
        <v>119.24912559323448</v>
      </c>
      <c r="E277" s="221">
        <f t="shared" si="16"/>
        <v>111.62172161635669</v>
      </c>
      <c r="F277" s="188" t="str">
        <f t="shared" si="17"/>
        <v/>
      </c>
      <c r="G277" t="str">
        <f t="shared" si="18"/>
        <v/>
      </c>
      <c r="H277" s="188" t="str">
        <f t="shared" si="19"/>
        <v/>
      </c>
      <c r="I277" s="189"/>
    </row>
    <row r="278" spans="1:9">
      <c r="A278" s="187">
        <v>226</v>
      </c>
      <c r="B278" s="222">
        <v>45670</v>
      </c>
      <c r="C278" s="221">
        <v>151.68971260435669</v>
      </c>
      <c r="D278" s="221">
        <v>119.24912559323448</v>
      </c>
      <c r="E278" s="221">
        <f t="shared" si="16"/>
        <v>119.24912559323448</v>
      </c>
      <c r="F278" s="188" t="str">
        <f t="shared" si="17"/>
        <v/>
      </c>
      <c r="G278" t="str">
        <f t="shared" si="18"/>
        <v/>
      </c>
      <c r="H278" s="188" t="str">
        <f t="shared" si="19"/>
        <v/>
      </c>
      <c r="I278" s="189"/>
    </row>
    <row r="279" spans="1:9">
      <c r="A279" s="187">
        <v>227</v>
      </c>
      <c r="B279" s="222">
        <v>45671</v>
      </c>
      <c r="C279" s="221">
        <v>167.14070640035669</v>
      </c>
      <c r="D279" s="221">
        <v>119.24912559323448</v>
      </c>
      <c r="E279" s="221">
        <f t="shared" si="16"/>
        <v>119.24912559323448</v>
      </c>
      <c r="F279" s="188" t="str">
        <f t="shared" si="17"/>
        <v/>
      </c>
      <c r="G279" t="str">
        <f t="shared" si="18"/>
        <v/>
      </c>
      <c r="H279" s="188" t="str">
        <f t="shared" si="19"/>
        <v/>
      </c>
      <c r="I279" s="189"/>
    </row>
    <row r="280" spans="1:9">
      <c r="A280" s="187">
        <v>228</v>
      </c>
      <c r="B280" s="222">
        <v>45672</v>
      </c>
      <c r="C280" s="221">
        <v>102.51417813263284</v>
      </c>
      <c r="D280" s="221">
        <v>119.24912559323448</v>
      </c>
      <c r="E280" s="221">
        <f t="shared" si="16"/>
        <v>102.51417813263284</v>
      </c>
      <c r="F280" s="188" t="str">
        <f t="shared" si="17"/>
        <v/>
      </c>
      <c r="G280" t="str">
        <f t="shared" si="18"/>
        <v/>
      </c>
      <c r="H280" s="188" t="str">
        <f>IF(DAY(B280)=15,IF(MONTH(B280)=1,"E",IF(MONTH(B280)=2,"F",IF(MONTH(B280)=3,"M",IF(MONTH(B280)=4,"A",IF(MONTH(B280)=5,"M",IF(MONTH(B280)=6,"J",IF(MONTH(B280)=7,"J",IF(MONTH(B280)=8,"A",IF(MONTH(B280)=9,"S",IF(MONTH(B280)=10,"O",IF(MONTH(B280)=11,"N",IF(MONTH(B280)=12,"D","")))))))))))),"")</f>
        <v>E</v>
      </c>
      <c r="I280" s="189">
        <f>IF(DAY(B280)=15,D280,"")</f>
        <v>119.24912559323448</v>
      </c>
    </row>
    <row r="281" spans="1:9">
      <c r="A281" s="187">
        <v>229</v>
      </c>
      <c r="B281" s="222">
        <v>45673</v>
      </c>
      <c r="C281" s="221">
        <v>105.57352440863284</v>
      </c>
      <c r="D281" s="221">
        <v>119.24912559323448</v>
      </c>
      <c r="E281" s="221">
        <f t="shared" si="16"/>
        <v>105.57352440863284</v>
      </c>
      <c r="F281" s="188" t="str">
        <f t="shared" si="17"/>
        <v/>
      </c>
      <c r="G281" t="str">
        <f t="shared" si="18"/>
        <v/>
      </c>
      <c r="H281" s="188" t="str">
        <f t="shared" si="19"/>
        <v/>
      </c>
      <c r="I281" s="189"/>
    </row>
    <row r="282" spans="1:9">
      <c r="A282" s="187">
        <v>230</v>
      </c>
      <c r="B282" s="222">
        <v>45674</v>
      </c>
      <c r="C282" s="221">
        <v>110.19689328463282</v>
      </c>
      <c r="D282" s="221">
        <v>119.24912559323448</v>
      </c>
      <c r="E282" s="221">
        <f t="shared" si="16"/>
        <v>110.19689328463282</v>
      </c>
      <c r="F282" s="188" t="str">
        <f t="shared" si="17"/>
        <v/>
      </c>
      <c r="G282" t="str">
        <f t="shared" si="18"/>
        <v/>
      </c>
      <c r="H282" s="188" t="str">
        <f t="shared" si="19"/>
        <v/>
      </c>
      <c r="I282" s="189"/>
    </row>
    <row r="283" spans="1:9">
      <c r="A283" s="187">
        <v>231</v>
      </c>
      <c r="B283" s="222">
        <v>45675</v>
      </c>
      <c r="C283" s="221">
        <v>105.46647364463281</v>
      </c>
      <c r="D283" s="221">
        <v>119.24912559323448</v>
      </c>
      <c r="E283" s="221">
        <f t="shared" si="16"/>
        <v>105.46647364463281</v>
      </c>
      <c r="F283" s="188" t="str">
        <f t="shared" si="17"/>
        <v/>
      </c>
      <c r="G283" t="str">
        <f t="shared" si="18"/>
        <v/>
      </c>
      <c r="H283" s="188" t="str">
        <f t="shared" si="19"/>
        <v/>
      </c>
      <c r="I283" s="189"/>
    </row>
    <row r="284" spans="1:9">
      <c r="A284" s="187">
        <v>232</v>
      </c>
      <c r="B284" s="222">
        <v>45676</v>
      </c>
      <c r="C284" s="221">
        <v>91.843949272630965</v>
      </c>
      <c r="D284" s="221">
        <v>119.24912559323448</v>
      </c>
      <c r="E284" s="221">
        <f t="shared" si="16"/>
        <v>91.843949272630965</v>
      </c>
      <c r="F284" s="188" t="str">
        <f t="shared" si="17"/>
        <v/>
      </c>
      <c r="G284" t="str">
        <f t="shared" si="18"/>
        <v/>
      </c>
      <c r="H284" s="188" t="str">
        <f t="shared" si="19"/>
        <v/>
      </c>
      <c r="I284" s="189"/>
    </row>
    <row r="285" spans="1:9">
      <c r="A285" s="187">
        <v>233</v>
      </c>
      <c r="B285" s="222">
        <v>45677</v>
      </c>
      <c r="C285" s="221">
        <v>106.80647157663282</v>
      </c>
      <c r="D285" s="221">
        <v>119.24912559323448</v>
      </c>
      <c r="E285" s="221">
        <f t="shared" si="16"/>
        <v>106.80647157663282</v>
      </c>
      <c r="F285" s="188" t="str">
        <f t="shared" si="17"/>
        <v/>
      </c>
      <c r="G285" t="str">
        <f t="shared" si="18"/>
        <v/>
      </c>
      <c r="H285" s="188" t="str">
        <f t="shared" si="19"/>
        <v/>
      </c>
      <c r="I285" s="189"/>
    </row>
    <row r="286" spans="1:9">
      <c r="A286" s="187">
        <v>234</v>
      </c>
      <c r="B286" s="222">
        <v>45678</v>
      </c>
      <c r="C286" s="221">
        <v>91.954721448634686</v>
      </c>
      <c r="D286" s="221">
        <v>119.24912559323448</v>
      </c>
      <c r="E286" s="221">
        <f t="shared" si="16"/>
        <v>91.954721448634686</v>
      </c>
      <c r="F286" s="188" t="str">
        <f t="shared" si="17"/>
        <v/>
      </c>
      <c r="G286" t="str">
        <f t="shared" si="18"/>
        <v/>
      </c>
      <c r="H286" s="188" t="str">
        <f t="shared" si="19"/>
        <v/>
      </c>
      <c r="I286" s="189"/>
    </row>
    <row r="287" spans="1:9">
      <c r="A287" s="187">
        <v>235</v>
      </c>
      <c r="B287" s="222">
        <v>45679</v>
      </c>
      <c r="C287" s="221">
        <v>168.3210030544453</v>
      </c>
      <c r="D287" s="221">
        <v>119.24912559323448</v>
      </c>
      <c r="E287" s="221">
        <f t="shared" si="16"/>
        <v>119.24912559323448</v>
      </c>
      <c r="F287" s="188" t="str">
        <f t="shared" si="17"/>
        <v/>
      </c>
      <c r="G287" t="str">
        <f t="shared" si="18"/>
        <v/>
      </c>
      <c r="H287" s="188" t="str">
        <f t="shared" si="19"/>
        <v/>
      </c>
      <c r="I287" s="189"/>
    </row>
    <row r="288" spans="1:9">
      <c r="A288" s="187">
        <v>236</v>
      </c>
      <c r="B288" s="222">
        <v>45680</v>
      </c>
      <c r="C288" s="221">
        <v>178.69275573044339</v>
      </c>
      <c r="D288" s="221">
        <v>119.24912559323448</v>
      </c>
      <c r="E288" s="221">
        <f t="shared" si="16"/>
        <v>119.24912559323448</v>
      </c>
      <c r="F288" s="188" t="str">
        <f t="shared" si="17"/>
        <v/>
      </c>
      <c r="G288" t="str">
        <f t="shared" si="18"/>
        <v/>
      </c>
      <c r="H288" s="188" t="str">
        <f t="shared" si="19"/>
        <v/>
      </c>
      <c r="I288" s="189"/>
    </row>
    <row r="289" spans="1:9">
      <c r="A289" s="187">
        <v>237</v>
      </c>
      <c r="B289" s="222">
        <v>45681</v>
      </c>
      <c r="C289" s="221">
        <v>160.10215898644714</v>
      </c>
      <c r="D289" s="221">
        <v>119.24912559323448</v>
      </c>
      <c r="E289" s="221">
        <f t="shared" si="16"/>
        <v>119.24912559323448</v>
      </c>
      <c r="F289" s="188" t="str">
        <f t="shared" si="17"/>
        <v/>
      </c>
      <c r="G289" t="str">
        <f t="shared" si="18"/>
        <v/>
      </c>
      <c r="H289" s="188" t="str">
        <f t="shared" si="19"/>
        <v/>
      </c>
      <c r="I289" s="189"/>
    </row>
    <row r="290" spans="1:9">
      <c r="A290" s="187">
        <v>238</v>
      </c>
      <c r="B290" s="222">
        <v>45682</v>
      </c>
      <c r="C290" s="221">
        <v>138.36786372644343</v>
      </c>
      <c r="D290" s="221">
        <v>119.24912559323448</v>
      </c>
      <c r="E290" s="221">
        <f t="shared" si="16"/>
        <v>119.24912559323448</v>
      </c>
      <c r="F290" s="188" t="str">
        <f t="shared" si="17"/>
        <v/>
      </c>
      <c r="G290" t="str">
        <f t="shared" si="18"/>
        <v/>
      </c>
      <c r="H290" s="188" t="str">
        <f t="shared" si="19"/>
        <v/>
      </c>
      <c r="I290" s="189"/>
    </row>
    <row r="291" spans="1:9">
      <c r="A291" s="187">
        <v>239</v>
      </c>
      <c r="B291" s="222">
        <v>45683</v>
      </c>
      <c r="C291" s="221">
        <v>126.88157139844529</v>
      </c>
      <c r="D291" s="221">
        <v>119.24912559323448</v>
      </c>
      <c r="E291" s="221">
        <f t="shared" si="16"/>
        <v>119.24912559323448</v>
      </c>
      <c r="F291" s="188" t="str">
        <f t="shared" si="17"/>
        <v/>
      </c>
      <c r="G291" t="str">
        <f t="shared" si="18"/>
        <v/>
      </c>
      <c r="H291" s="188" t="str">
        <f t="shared" si="19"/>
        <v/>
      </c>
      <c r="I291" s="189"/>
    </row>
    <row r="292" spans="1:9">
      <c r="A292" s="187">
        <v>240</v>
      </c>
      <c r="B292" s="222">
        <v>45684</v>
      </c>
      <c r="C292" s="221">
        <v>133.75775796244343</v>
      </c>
      <c r="D292" s="221">
        <v>119.24912559323448</v>
      </c>
      <c r="E292" s="221">
        <f t="shared" si="16"/>
        <v>119.24912559323448</v>
      </c>
      <c r="F292" s="188" t="str">
        <f t="shared" si="17"/>
        <v/>
      </c>
      <c r="G292" t="str">
        <f t="shared" si="18"/>
        <v/>
      </c>
      <c r="H292" s="188" t="str">
        <f t="shared" si="19"/>
        <v/>
      </c>
      <c r="I292" s="189"/>
    </row>
    <row r="293" spans="1:9">
      <c r="A293" s="187">
        <v>241</v>
      </c>
      <c r="B293" s="222">
        <v>45685</v>
      </c>
      <c r="C293" s="221">
        <v>163.20963387044341</v>
      </c>
      <c r="D293" s="221">
        <v>119.24912559323448</v>
      </c>
      <c r="E293" s="221">
        <f t="shared" si="16"/>
        <v>119.24912559323448</v>
      </c>
      <c r="F293" s="188" t="str">
        <f t="shared" si="17"/>
        <v/>
      </c>
      <c r="G293" t="str">
        <f t="shared" si="18"/>
        <v/>
      </c>
      <c r="H293" s="188" t="str">
        <f t="shared" si="19"/>
        <v/>
      </c>
      <c r="I293" s="189"/>
    </row>
    <row r="294" spans="1:9">
      <c r="A294" s="187">
        <v>242</v>
      </c>
      <c r="B294" s="222">
        <v>45686</v>
      </c>
      <c r="C294" s="221">
        <v>294.59153930035598</v>
      </c>
      <c r="D294" s="221">
        <v>119.24912559323448</v>
      </c>
      <c r="E294" s="221">
        <f t="shared" si="16"/>
        <v>119.24912559323448</v>
      </c>
      <c r="F294" s="188" t="str">
        <f t="shared" si="17"/>
        <v/>
      </c>
      <c r="G294" t="str">
        <f t="shared" si="18"/>
        <v/>
      </c>
      <c r="H294" s="188" t="str">
        <f t="shared" si="19"/>
        <v/>
      </c>
      <c r="I294" s="189"/>
    </row>
    <row r="295" spans="1:9">
      <c r="A295" s="187">
        <v>243</v>
      </c>
      <c r="B295" s="222">
        <v>45687</v>
      </c>
      <c r="C295" s="221">
        <v>284.58255372035046</v>
      </c>
      <c r="D295" s="221">
        <v>119.24912559323448</v>
      </c>
      <c r="E295" s="221">
        <f t="shared" si="16"/>
        <v>119.24912559323448</v>
      </c>
      <c r="F295" s="188" t="str">
        <f t="shared" si="17"/>
        <v/>
      </c>
      <c r="G295" t="str">
        <f t="shared" si="18"/>
        <v/>
      </c>
      <c r="H295" s="188" t="str">
        <f t="shared" si="19"/>
        <v/>
      </c>
      <c r="I295" s="189"/>
    </row>
    <row r="296" spans="1:9">
      <c r="A296" s="187">
        <v>244</v>
      </c>
      <c r="B296" s="222">
        <v>45688</v>
      </c>
      <c r="C296" s="221">
        <v>315.55065295635046</v>
      </c>
      <c r="D296" s="221">
        <v>119.24912559323448</v>
      </c>
      <c r="E296" s="221">
        <f t="shared" si="16"/>
        <v>119.24912559323448</v>
      </c>
      <c r="F296" s="188" t="str">
        <f t="shared" si="17"/>
        <v/>
      </c>
      <c r="G296" t="str">
        <f t="shared" si="18"/>
        <v/>
      </c>
      <c r="H296" s="188" t="str">
        <f t="shared" si="19"/>
        <v/>
      </c>
      <c r="I296" s="189"/>
    </row>
    <row r="297" spans="1:9">
      <c r="A297" s="187">
        <v>245</v>
      </c>
      <c r="B297" s="222">
        <v>45689</v>
      </c>
      <c r="C297" s="221">
        <v>307.18967444835602</v>
      </c>
      <c r="D297" s="221">
        <v>124.45770390135006</v>
      </c>
      <c r="E297" s="221">
        <f t="shared" si="16"/>
        <v>124.45770390135006</v>
      </c>
      <c r="F297" s="188">
        <f t="shared" si="17"/>
        <v>600</v>
      </c>
      <c r="G297" t="str">
        <f t="shared" si="18"/>
        <v/>
      </c>
      <c r="H297" s="188" t="str">
        <f t="shared" si="19"/>
        <v/>
      </c>
      <c r="I297" s="189"/>
    </row>
    <row r="298" spans="1:9">
      <c r="A298" s="187">
        <v>246</v>
      </c>
      <c r="B298" s="222">
        <v>45690</v>
      </c>
      <c r="C298" s="221">
        <v>332.03252094435226</v>
      </c>
      <c r="D298" s="221">
        <v>124.45770390135006</v>
      </c>
      <c r="E298" s="221">
        <f t="shared" si="16"/>
        <v>124.45770390135006</v>
      </c>
      <c r="F298" s="188" t="str">
        <f t="shared" si="17"/>
        <v/>
      </c>
      <c r="G298" t="str">
        <f t="shared" si="18"/>
        <v/>
      </c>
      <c r="H298" s="188" t="str">
        <f t="shared" si="19"/>
        <v/>
      </c>
      <c r="I298" s="189"/>
    </row>
    <row r="299" spans="1:9">
      <c r="A299" s="187">
        <v>247</v>
      </c>
      <c r="B299" s="222">
        <v>45691</v>
      </c>
      <c r="C299" s="221">
        <v>338.51311530435231</v>
      </c>
      <c r="D299" s="221">
        <v>124.45770390135006</v>
      </c>
      <c r="E299" s="221">
        <f t="shared" si="16"/>
        <v>124.45770390135006</v>
      </c>
      <c r="F299" s="188" t="str">
        <f t="shared" si="17"/>
        <v/>
      </c>
      <c r="G299" t="str">
        <f t="shared" si="18"/>
        <v/>
      </c>
      <c r="H299" s="188" t="str">
        <f t="shared" si="19"/>
        <v/>
      </c>
      <c r="I299" s="189"/>
    </row>
    <row r="300" spans="1:9">
      <c r="A300" s="187">
        <v>248</v>
      </c>
      <c r="B300" s="222">
        <v>45692</v>
      </c>
      <c r="C300" s="221">
        <v>349.92630046835041</v>
      </c>
      <c r="D300" s="221">
        <v>124.45770390135006</v>
      </c>
      <c r="E300" s="221">
        <f t="shared" si="16"/>
        <v>124.45770390135006</v>
      </c>
      <c r="F300" s="188" t="str">
        <f t="shared" si="17"/>
        <v/>
      </c>
      <c r="G300" t="str">
        <f t="shared" si="18"/>
        <v/>
      </c>
      <c r="H300" s="188" t="str">
        <f t="shared" si="19"/>
        <v/>
      </c>
      <c r="I300" s="189"/>
    </row>
    <row r="301" spans="1:9">
      <c r="A301" s="187">
        <v>249</v>
      </c>
      <c r="B301" s="222">
        <v>45693</v>
      </c>
      <c r="C301" s="221">
        <v>158.57640116120609</v>
      </c>
      <c r="D301" s="221">
        <v>124.45770390135006</v>
      </c>
      <c r="E301" s="221">
        <f t="shared" si="16"/>
        <v>124.45770390135006</v>
      </c>
      <c r="F301" s="188" t="str">
        <f t="shared" si="17"/>
        <v/>
      </c>
      <c r="G301" t="str">
        <f t="shared" si="18"/>
        <v/>
      </c>
      <c r="H301" s="188" t="str">
        <f t="shared" si="19"/>
        <v/>
      </c>
      <c r="I301" s="189"/>
    </row>
    <row r="302" spans="1:9">
      <c r="A302" s="187">
        <v>250</v>
      </c>
      <c r="B302" s="222">
        <v>45694</v>
      </c>
      <c r="C302" s="221">
        <v>163.97919883720795</v>
      </c>
      <c r="D302" s="221">
        <v>124.45770390135006</v>
      </c>
      <c r="E302" s="221">
        <f t="shared" si="16"/>
        <v>124.45770390135006</v>
      </c>
      <c r="F302" s="188" t="str">
        <f t="shared" si="17"/>
        <v/>
      </c>
      <c r="G302" t="str">
        <f t="shared" si="18"/>
        <v/>
      </c>
      <c r="H302" s="188" t="str">
        <f t="shared" si="19"/>
        <v/>
      </c>
      <c r="I302" s="189"/>
    </row>
    <row r="303" spans="1:9">
      <c r="A303" s="187">
        <v>251</v>
      </c>
      <c r="B303" s="222">
        <v>45695</v>
      </c>
      <c r="C303" s="221">
        <v>156.4095246172061</v>
      </c>
      <c r="D303" s="221">
        <v>124.45770390135006</v>
      </c>
      <c r="E303" s="221">
        <f t="shared" si="16"/>
        <v>124.45770390135006</v>
      </c>
      <c r="F303" s="188" t="str">
        <f t="shared" si="17"/>
        <v/>
      </c>
      <c r="G303" t="str">
        <f t="shared" si="18"/>
        <v/>
      </c>
      <c r="H303" s="188" t="str">
        <f t="shared" si="19"/>
        <v/>
      </c>
      <c r="I303" s="189"/>
    </row>
    <row r="304" spans="1:9">
      <c r="A304" s="187">
        <v>252</v>
      </c>
      <c r="B304" s="222">
        <v>45696</v>
      </c>
      <c r="C304" s="221">
        <v>132.31267980120796</v>
      </c>
      <c r="D304" s="221">
        <v>124.45770390135006</v>
      </c>
      <c r="E304" s="221">
        <f t="shared" si="16"/>
        <v>124.45770390135006</v>
      </c>
      <c r="F304" s="188" t="str">
        <f t="shared" si="17"/>
        <v/>
      </c>
      <c r="G304" t="str">
        <f t="shared" si="18"/>
        <v/>
      </c>
      <c r="H304" s="188" t="str">
        <f t="shared" si="19"/>
        <v/>
      </c>
      <c r="I304" s="189"/>
    </row>
    <row r="305" spans="1:9">
      <c r="A305" s="187">
        <v>253</v>
      </c>
      <c r="B305" s="222">
        <v>45697</v>
      </c>
      <c r="C305" s="221">
        <v>141.74321268120983</v>
      </c>
      <c r="D305" s="221">
        <v>124.45770390135006</v>
      </c>
      <c r="E305" s="221">
        <f t="shared" si="16"/>
        <v>124.45770390135006</v>
      </c>
      <c r="F305" s="188" t="str">
        <f t="shared" si="17"/>
        <v/>
      </c>
      <c r="G305" t="str">
        <f t="shared" si="18"/>
        <v/>
      </c>
      <c r="H305" s="188" t="str">
        <f t="shared" si="19"/>
        <v/>
      </c>
      <c r="I305" s="189"/>
    </row>
    <row r="306" spans="1:9">
      <c r="A306" s="187">
        <v>254</v>
      </c>
      <c r="B306" s="222">
        <v>45698</v>
      </c>
      <c r="C306" s="221">
        <v>161.18742222520609</v>
      </c>
      <c r="D306" s="221">
        <v>124.45770390135006</v>
      </c>
      <c r="E306" s="221">
        <f t="shared" si="16"/>
        <v>124.45770390135006</v>
      </c>
      <c r="F306" s="188" t="str">
        <f t="shared" si="17"/>
        <v/>
      </c>
      <c r="G306" t="str">
        <f t="shared" si="18"/>
        <v/>
      </c>
      <c r="H306" s="188" t="str">
        <f t="shared" si="19"/>
        <v/>
      </c>
      <c r="I306" s="189"/>
    </row>
    <row r="307" spans="1:9">
      <c r="A307" s="187">
        <v>255</v>
      </c>
      <c r="B307" s="222">
        <v>45699</v>
      </c>
      <c r="C307" s="221">
        <v>157.21622700920611</v>
      </c>
      <c r="D307" s="221">
        <v>124.45770390135006</v>
      </c>
      <c r="E307" s="221">
        <f t="shared" si="16"/>
        <v>124.45770390135006</v>
      </c>
      <c r="F307" s="188" t="str">
        <f t="shared" si="17"/>
        <v/>
      </c>
      <c r="G307" t="str">
        <f t="shared" si="18"/>
        <v/>
      </c>
      <c r="H307" s="188" t="str">
        <f t="shared" si="19"/>
        <v/>
      </c>
      <c r="I307" s="189"/>
    </row>
    <row r="308" spans="1:9">
      <c r="A308" s="187">
        <v>256</v>
      </c>
      <c r="B308" s="222">
        <v>45700</v>
      </c>
      <c r="C308" s="221">
        <v>153.14956008996853</v>
      </c>
      <c r="D308" s="221">
        <v>124.45770390135006</v>
      </c>
      <c r="E308" s="221">
        <f t="shared" ref="E308:E371" si="20">IF(C308&lt;D308,C308,D308)</f>
        <v>124.45770390135006</v>
      </c>
      <c r="F308" s="188" t="str">
        <f t="shared" ref="F308:F371" si="21">IF(DAY(B308)=1,600,"")</f>
        <v/>
      </c>
      <c r="G308" t="str">
        <f t="shared" si="18"/>
        <v/>
      </c>
      <c r="H308" s="188" t="str">
        <f>IF(DAY(B308)=15,IF(MONTH(B308)=1,"E",IF(MONTH(B308)=2,"F",IF(MONTH(B308)=3,"M",IF(MONTH(B308)=4,"A",IF(MONTH(B308)=5,"M",IF(MONTH(B308)=6,"J",IF(MONTH(B308)=7,"J",IF(MONTH(B308)=8,"A",IF(MONTH(B308)=9,"S",IF(MONTH(B308)=10,"O",IF(MONTH(B308)=11,"N",IF(MONTH(B308)=12,"D","")))))))))))),"")</f>
        <v/>
      </c>
      <c r="I308" s="189"/>
    </row>
    <row r="309" spans="1:9">
      <c r="A309" s="187">
        <v>257</v>
      </c>
      <c r="B309" s="222">
        <v>45701</v>
      </c>
      <c r="C309" s="221">
        <v>153.16600436197038</v>
      </c>
      <c r="D309" s="221">
        <v>124.45770390135006</v>
      </c>
      <c r="E309" s="221">
        <f t="shared" si="20"/>
        <v>124.45770390135006</v>
      </c>
      <c r="F309" s="188" t="str">
        <f t="shared" si="21"/>
        <v/>
      </c>
      <c r="G309" t="str">
        <f t="shared" si="18"/>
        <v/>
      </c>
      <c r="H309" s="188" t="str">
        <f>IF(DAY(B309)=15,IF(MONTH(B309)=1,"E",IF(MONTH(B309)=2,"F",IF(MONTH(B309)=3,"M",IF(MONTH(B309)=4,"A",IF(MONTH(B309)=5,"M",IF(MONTH(B309)=6,"J",IF(MONTH(B309)=7,"J",IF(MONTH(B309)=8,"A",IF(MONTH(B309)=9,"S",IF(MONTH(B309)=10,"O",IF(MONTH(B309)=11,"N",IF(MONTH(B309)=12,"D","")))))))))))),"")</f>
        <v/>
      </c>
      <c r="I309" s="189"/>
    </row>
    <row r="310" spans="1:9">
      <c r="A310" s="187">
        <v>258</v>
      </c>
      <c r="B310" s="222">
        <v>45702</v>
      </c>
      <c r="C310" s="221">
        <v>159.62962107396663</v>
      </c>
      <c r="D310" s="221">
        <v>124.45770390135006</v>
      </c>
      <c r="E310" s="221">
        <f t="shared" si="20"/>
        <v>124.45770390135006</v>
      </c>
      <c r="F310" s="188" t="str">
        <f t="shared" si="21"/>
        <v/>
      </c>
      <c r="G310" t="str">
        <f t="shared" ref="G310:G373" si="22">IF(MONTH(B310)=1,IF(DAY(B310)=1,YEAR(B310),""),"")</f>
        <v/>
      </c>
      <c r="H310" s="188" t="str">
        <f>IF(DAY(B310)=15,IF(MONTH(B310)=1,"E",IF(MONTH(B310)=2,"F",IF(MONTH(B310)=3,"M",IF(MONTH(B310)=4,"A",IF(MONTH(B310)=5,"M",IF(MONTH(B310)=6,"J",IF(MONTH(B310)=7,"J",IF(MONTH(B310)=8,"A",IF(MONTH(B310)=9,"S",IF(MONTH(B310)=10,"O",IF(MONTH(B310)=11,"N",IF(MONTH(B310)=12,"D","")))))))))))),"")</f>
        <v/>
      </c>
      <c r="I310" s="189"/>
    </row>
    <row r="311" spans="1:9">
      <c r="A311" s="187">
        <v>259</v>
      </c>
      <c r="B311" s="222">
        <v>45703</v>
      </c>
      <c r="C311" s="221">
        <v>145.24807740197036</v>
      </c>
      <c r="D311" s="221">
        <v>124.45770390135006</v>
      </c>
      <c r="E311" s="221">
        <f t="shared" si="20"/>
        <v>124.45770390135006</v>
      </c>
      <c r="F311" s="188" t="str">
        <f t="shared" si="21"/>
        <v/>
      </c>
      <c r="G311" t="str">
        <f t="shared" si="22"/>
        <v/>
      </c>
      <c r="H311" s="188" t="str">
        <f>IF(DAY(B311)=15,IF(MONTH(B311)=1,"E",IF(MONTH(B311)=2,"F",IF(MONTH(B311)=3,"M",IF(MONTH(B311)=4,"A",IF(MONTH(B311)=5,"M",IF(MONTH(B311)=6,"J",IF(MONTH(B311)=7,"J",IF(MONTH(B311)=8,"A",IF(MONTH(B311)=9,"S",IF(MONTH(B311)=10,"O",IF(MONTH(B311)=11,"N",IF(MONTH(B311)=12,"D","")))))))))))),"")</f>
        <v>F</v>
      </c>
      <c r="I311" s="189">
        <f>IF(DAY(B311)=15,D311,"")</f>
        <v>124.45770390135006</v>
      </c>
    </row>
    <row r="312" spans="1:9">
      <c r="A312" s="187">
        <v>260</v>
      </c>
      <c r="B312" s="222">
        <v>45704</v>
      </c>
      <c r="C312" s="221">
        <v>139.31324646196666</v>
      </c>
      <c r="D312" s="221">
        <v>124.45770390135006</v>
      </c>
      <c r="E312" s="221">
        <f t="shared" si="20"/>
        <v>124.45770390135006</v>
      </c>
      <c r="F312" s="188" t="str">
        <f t="shared" si="21"/>
        <v/>
      </c>
      <c r="G312" t="str">
        <f t="shared" si="22"/>
        <v/>
      </c>
      <c r="H312" s="188" t="str">
        <f t="shared" si="19"/>
        <v/>
      </c>
      <c r="I312" s="189"/>
    </row>
    <row r="313" spans="1:9">
      <c r="A313" s="187">
        <v>261</v>
      </c>
      <c r="B313" s="222">
        <v>45705</v>
      </c>
      <c r="C313" s="221">
        <v>152.62523166597038</v>
      </c>
      <c r="D313" s="221">
        <v>124.45770390135006</v>
      </c>
      <c r="E313" s="221">
        <f t="shared" si="20"/>
        <v>124.45770390135006</v>
      </c>
      <c r="F313" s="188" t="str">
        <f t="shared" si="21"/>
        <v/>
      </c>
      <c r="G313" t="str">
        <f t="shared" si="22"/>
        <v/>
      </c>
      <c r="H313" s="188" t="str">
        <f t="shared" si="19"/>
        <v/>
      </c>
      <c r="I313" s="189"/>
    </row>
    <row r="314" spans="1:9">
      <c r="A314" s="187">
        <v>262</v>
      </c>
      <c r="B314" s="222">
        <v>45706</v>
      </c>
      <c r="C314" s="221">
        <v>136.07652472996853</v>
      </c>
      <c r="D314" s="221">
        <v>124.45770390135006</v>
      </c>
      <c r="E314" s="221">
        <f t="shared" si="20"/>
        <v>124.45770390135006</v>
      </c>
      <c r="F314" s="188" t="str">
        <f t="shared" si="21"/>
        <v/>
      </c>
      <c r="G314" t="str">
        <f t="shared" si="22"/>
        <v/>
      </c>
      <c r="H314" s="188" t="str">
        <f t="shared" si="19"/>
        <v/>
      </c>
      <c r="I314" s="189"/>
    </row>
    <row r="315" spans="1:9">
      <c r="A315" s="187">
        <v>263</v>
      </c>
      <c r="B315" s="222">
        <v>45707</v>
      </c>
      <c r="C315" s="221">
        <v>141.0527792297126</v>
      </c>
      <c r="D315" s="221">
        <v>124.45770390135006</v>
      </c>
      <c r="E315" s="221">
        <f t="shared" si="20"/>
        <v>124.45770390135006</v>
      </c>
      <c r="F315" s="188" t="str">
        <f t="shared" si="21"/>
        <v/>
      </c>
      <c r="G315" t="str">
        <f t="shared" si="22"/>
        <v/>
      </c>
      <c r="H315" s="188" t="str">
        <f t="shared" si="19"/>
        <v/>
      </c>
      <c r="I315" s="189"/>
    </row>
    <row r="316" spans="1:9">
      <c r="A316" s="187">
        <v>264</v>
      </c>
      <c r="B316" s="222">
        <v>45708</v>
      </c>
      <c r="C316" s="221">
        <v>121.78426129771444</v>
      </c>
      <c r="D316" s="221">
        <v>124.45770390135006</v>
      </c>
      <c r="E316" s="221">
        <f t="shared" si="20"/>
        <v>121.78426129771444</v>
      </c>
      <c r="F316" s="188" t="str">
        <f t="shared" si="21"/>
        <v/>
      </c>
      <c r="G316" t="str">
        <f t="shared" si="22"/>
        <v/>
      </c>
      <c r="H316" s="188" t="str">
        <f t="shared" si="19"/>
        <v/>
      </c>
      <c r="I316" s="189"/>
    </row>
    <row r="317" spans="1:9">
      <c r="A317" s="187">
        <v>265</v>
      </c>
      <c r="B317" s="222">
        <v>45709</v>
      </c>
      <c r="C317" s="221">
        <v>87.426524705710705</v>
      </c>
      <c r="D317" s="221">
        <v>124.45770390135006</v>
      </c>
      <c r="E317" s="221">
        <f t="shared" si="20"/>
        <v>87.426524705710705</v>
      </c>
      <c r="F317" s="188" t="str">
        <f t="shared" si="21"/>
        <v/>
      </c>
      <c r="G317" t="str">
        <f t="shared" si="22"/>
        <v/>
      </c>
      <c r="H317" s="188" t="str">
        <f t="shared" si="19"/>
        <v/>
      </c>
      <c r="I317" s="189"/>
    </row>
    <row r="318" spans="1:9">
      <c r="A318" s="187">
        <v>266</v>
      </c>
      <c r="B318" s="222">
        <v>45710</v>
      </c>
      <c r="C318" s="221">
        <v>114.18082720971816</v>
      </c>
      <c r="D318" s="221">
        <v>124.45770390135006</v>
      </c>
      <c r="E318" s="221">
        <f t="shared" si="20"/>
        <v>114.18082720971816</v>
      </c>
      <c r="F318" s="188" t="str">
        <f t="shared" si="21"/>
        <v/>
      </c>
      <c r="G318" t="str">
        <f t="shared" si="22"/>
        <v/>
      </c>
      <c r="H318" s="188" t="str">
        <f t="shared" si="19"/>
        <v/>
      </c>
      <c r="I318" s="189"/>
    </row>
    <row r="319" spans="1:9">
      <c r="A319" s="187">
        <v>267</v>
      </c>
      <c r="B319" s="222">
        <v>45711</v>
      </c>
      <c r="C319" s="221">
        <v>83.044860149710715</v>
      </c>
      <c r="D319" s="221">
        <v>124.45770390135006</v>
      </c>
      <c r="E319" s="221">
        <f t="shared" si="20"/>
        <v>83.044860149710715</v>
      </c>
      <c r="F319" s="188" t="str">
        <f t="shared" si="21"/>
        <v/>
      </c>
      <c r="G319" t="str">
        <f t="shared" si="22"/>
        <v/>
      </c>
      <c r="H319" s="188" t="str">
        <f t="shared" si="19"/>
        <v/>
      </c>
      <c r="I319" s="189"/>
    </row>
    <row r="320" spans="1:9">
      <c r="A320" s="187">
        <v>268</v>
      </c>
      <c r="B320" s="222">
        <v>45712</v>
      </c>
      <c r="C320" s="221">
        <v>99.154974373714424</v>
      </c>
      <c r="D320" s="221">
        <v>124.45770390135006</v>
      </c>
      <c r="E320" s="221">
        <f t="shared" si="20"/>
        <v>99.154974373714424</v>
      </c>
      <c r="F320" s="188" t="str">
        <f t="shared" si="21"/>
        <v/>
      </c>
      <c r="G320" t="str">
        <f t="shared" si="22"/>
        <v/>
      </c>
      <c r="H320" s="188" t="str">
        <f t="shared" si="19"/>
        <v/>
      </c>
      <c r="I320" s="189"/>
    </row>
    <row r="321" spans="1:9">
      <c r="A321" s="187">
        <v>269</v>
      </c>
      <c r="B321" s="222">
        <v>45713</v>
      </c>
      <c r="C321" s="221">
        <v>110.72487132571072</v>
      </c>
      <c r="D321" s="221">
        <v>124.45770390135006</v>
      </c>
      <c r="E321" s="221">
        <f t="shared" si="20"/>
        <v>110.72487132571072</v>
      </c>
      <c r="F321" s="188" t="str">
        <f t="shared" si="21"/>
        <v/>
      </c>
      <c r="G321" t="str">
        <f t="shared" si="22"/>
        <v/>
      </c>
      <c r="H321" s="188" t="str">
        <f t="shared" si="19"/>
        <v/>
      </c>
      <c r="I321" s="189"/>
    </row>
    <row r="322" spans="1:9">
      <c r="A322" s="187">
        <v>270</v>
      </c>
      <c r="B322" s="222">
        <v>45714</v>
      </c>
      <c r="C322" s="221">
        <v>124.40638517880809</v>
      </c>
      <c r="D322" s="221">
        <v>124.45770390135006</v>
      </c>
      <c r="E322" s="221">
        <f t="shared" si="20"/>
        <v>124.40638517880809</v>
      </c>
      <c r="F322" s="188" t="str">
        <f t="shared" si="21"/>
        <v/>
      </c>
      <c r="G322" t="str">
        <f t="shared" si="22"/>
        <v/>
      </c>
      <c r="H322" s="188" t="str">
        <f t="shared" si="19"/>
        <v/>
      </c>
      <c r="I322" s="189"/>
    </row>
    <row r="323" spans="1:9">
      <c r="A323" s="187">
        <v>271</v>
      </c>
      <c r="B323" s="222">
        <v>45715</v>
      </c>
      <c r="C323" s="221">
        <v>138.88854172280622</v>
      </c>
      <c r="D323" s="221">
        <v>124.45770390135006</v>
      </c>
      <c r="E323" s="221">
        <f t="shared" si="20"/>
        <v>124.45770390135006</v>
      </c>
      <c r="F323" s="188" t="str">
        <f t="shared" si="21"/>
        <v/>
      </c>
      <c r="G323" t="str">
        <f t="shared" si="22"/>
        <v/>
      </c>
      <c r="H323" s="188" t="str">
        <f t="shared" ref="H323:H386" si="23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I323" s="189"/>
    </row>
    <row r="324" spans="1:9">
      <c r="A324" s="187">
        <v>272</v>
      </c>
      <c r="B324" s="222">
        <v>45716</v>
      </c>
      <c r="C324" s="221">
        <v>131.33349814280808</v>
      </c>
      <c r="D324" s="221">
        <v>124.45770390135006</v>
      </c>
      <c r="E324" s="221">
        <f t="shared" si="20"/>
        <v>124.45770390135006</v>
      </c>
      <c r="F324" s="188" t="str">
        <f t="shared" si="21"/>
        <v/>
      </c>
      <c r="G324" t="str">
        <f t="shared" si="22"/>
        <v/>
      </c>
      <c r="H324" s="188" t="str">
        <f t="shared" si="23"/>
        <v/>
      </c>
      <c r="I324" s="189"/>
    </row>
    <row r="325" spans="1:9">
      <c r="A325" s="187">
        <v>273</v>
      </c>
      <c r="B325" s="222">
        <v>45717</v>
      </c>
      <c r="C325" s="221">
        <v>80.165669062808078</v>
      </c>
      <c r="D325" s="221">
        <v>129.67177197597073</v>
      </c>
      <c r="E325" s="221">
        <f t="shared" si="20"/>
        <v>80.165669062808078</v>
      </c>
      <c r="F325" s="188">
        <f t="shared" si="21"/>
        <v>600</v>
      </c>
      <c r="G325" t="str">
        <f t="shared" si="22"/>
        <v/>
      </c>
      <c r="H325" s="188" t="str">
        <f t="shared" si="23"/>
        <v/>
      </c>
      <c r="I325" s="189"/>
    </row>
    <row r="326" spans="1:9">
      <c r="A326" s="187">
        <v>274</v>
      </c>
      <c r="B326" s="222">
        <v>45718</v>
      </c>
      <c r="C326" s="221">
        <v>73.145512046808079</v>
      </c>
      <c r="D326" s="221">
        <v>129.67177197597073</v>
      </c>
      <c r="E326" s="221">
        <f t="shared" si="20"/>
        <v>73.145512046808079</v>
      </c>
      <c r="F326" s="188" t="str">
        <f t="shared" si="21"/>
        <v/>
      </c>
      <c r="G326" t="str">
        <f t="shared" si="22"/>
        <v/>
      </c>
      <c r="H326" s="188" t="str">
        <f t="shared" si="23"/>
        <v/>
      </c>
      <c r="I326" s="189"/>
    </row>
    <row r="327" spans="1:9">
      <c r="A327" s="187">
        <v>275</v>
      </c>
      <c r="B327" s="222">
        <v>45719</v>
      </c>
      <c r="C327" s="221">
        <v>121.25406093080623</v>
      </c>
      <c r="D327" s="221">
        <v>129.67177197597073</v>
      </c>
      <c r="E327" s="221">
        <f t="shared" si="20"/>
        <v>121.25406093080623</v>
      </c>
      <c r="F327" s="188" t="str">
        <f t="shared" si="21"/>
        <v/>
      </c>
      <c r="G327" t="str">
        <f t="shared" si="22"/>
        <v/>
      </c>
      <c r="H327" s="188" t="str">
        <f t="shared" si="23"/>
        <v/>
      </c>
      <c r="I327" s="189"/>
    </row>
    <row r="328" spans="1:9">
      <c r="A328" s="187">
        <v>276</v>
      </c>
      <c r="B328" s="222">
        <v>45720</v>
      </c>
      <c r="C328" s="221">
        <v>119.62993390280809</v>
      </c>
      <c r="D328" s="221">
        <v>129.67177197597073</v>
      </c>
      <c r="E328" s="221">
        <f t="shared" si="20"/>
        <v>119.62993390280809</v>
      </c>
      <c r="F328" s="188" t="str">
        <f t="shared" si="21"/>
        <v/>
      </c>
      <c r="G328" t="str">
        <f t="shared" si="22"/>
        <v/>
      </c>
      <c r="H328" s="188" t="str">
        <f t="shared" si="23"/>
        <v/>
      </c>
      <c r="I328" s="189"/>
    </row>
    <row r="329" spans="1:9">
      <c r="A329" s="187">
        <v>277</v>
      </c>
      <c r="B329" s="222">
        <v>45721</v>
      </c>
      <c r="C329" s="221">
        <v>186.19599156423655</v>
      </c>
      <c r="D329" s="221">
        <v>129.67177197597073</v>
      </c>
      <c r="E329" s="221">
        <f t="shared" si="20"/>
        <v>129.67177197597073</v>
      </c>
      <c r="F329" s="188" t="str">
        <f t="shared" si="21"/>
        <v/>
      </c>
      <c r="G329" t="str">
        <f t="shared" si="22"/>
        <v/>
      </c>
      <c r="H329" s="188" t="str">
        <f t="shared" si="23"/>
        <v/>
      </c>
      <c r="I329" s="189"/>
    </row>
    <row r="330" spans="1:9">
      <c r="A330" s="187">
        <v>278</v>
      </c>
      <c r="B330" s="222">
        <v>45722</v>
      </c>
      <c r="C330" s="221">
        <v>177.20844322823655</v>
      </c>
      <c r="D330" s="221">
        <v>129.67177197597073</v>
      </c>
      <c r="E330" s="221">
        <f t="shared" si="20"/>
        <v>129.67177197597073</v>
      </c>
      <c r="F330" s="188" t="str">
        <f t="shared" si="21"/>
        <v/>
      </c>
      <c r="G330" t="str">
        <f t="shared" si="22"/>
        <v/>
      </c>
      <c r="H330" s="188" t="str">
        <f t="shared" si="23"/>
        <v/>
      </c>
      <c r="I330" s="189"/>
    </row>
    <row r="331" spans="1:9">
      <c r="A331" s="187">
        <v>279</v>
      </c>
      <c r="B331" s="222">
        <v>45723</v>
      </c>
      <c r="C331" s="221">
        <v>163.06308969623467</v>
      </c>
      <c r="D331" s="221">
        <v>129.67177197597073</v>
      </c>
      <c r="E331" s="221">
        <f t="shared" si="20"/>
        <v>129.67177197597073</v>
      </c>
      <c r="F331" s="188" t="str">
        <f t="shared" si="21"/>
        <v/>
      </c>
      <c r="G331" t="str">
        <f t="shared" si="22"/>
        <v/>
      </c>
      <c r="H331" s="188" t="str">
        <f t="shared" si="23"/>
        <v/>
      </c>
      <c r="I331" s="189"/>
    </row>
    <row r="332" spans="1:9">
      <c r="A332" s="187">
        <v>280</v>
      </c>
      <c r="B332" s="222">
        <v>45724</v>
      </c>
      <c r="C332" s="221">
        <v>125.69828429223841</v>
      </c>
      <c r="D332" s="221">
        <v>129.67177197597073</v>
      </c>
      <c r="E332" s="221">
        <f t="shared" si="20"/>
        <v>125.69828429223841</v>
      </c>
      <c r="F332" s="188" t="str">
        <f t="shared" si="21"/>
        <v/>
      </c>
      <c r="G332" t="str">
        <f t="shared" si="22"/>
        <v/>
      </c>
      <c r="H332" s="188" t="str">
        <f t="shared" si="23"/>
        <v/>
      </c>
      <c r="I332" s="189"/>
    </row>
    <row r="333" spans="1:9">
      <c r="A333" s="187">
        <v>281</v>
      </c>
      <c r="B333" s="222">
        <v>45725</v>
      </c>
      <c r="C333" s="221">
        <v>150.68621081623471</v>
      </c>
      <c r="D333" s="221">
        <v>129.67177197597073</v>
      </c>
      <c r="E333" s="221">
        <f t="shared" si="20"/>
        <v>129.67177197597073</v>
      </c>
      <c r="F333" s="188" t="str">
        <f t="shared" si="21"/>
        <v/>
      </c>
      <c r="G333" t="str">
        <f t="shared" si="22"/>
        <v/>
      </c>
      <c r="H333" s="188" t="str">
        <f t="shared" si="23"/>
        <v/>
      </c>
      <c r="I333" s="189"/>
    </row>
    <row r="334" spans="1:9">
      <c r="A334" s="187">
        <v>282</v>
      </c>
      <c r="B334" s="222">
        <v>45726</v>
      </c>
      <c r="C334" s="221">
        <v>203.33182016823656</v>
      </c>
      <c r="D334" s="221">
        <v>129.67177197597073</v>
      </c>
      <c r="E334" s="221">
        <f t="shared" si="20"/>
        <v>129.67177197597073</v>
      </c>
      <c r="F334" s="188" t="str">
        <f t="shared" si="21"/>
        <v/>
      </c>
      <c r="G334" t="str">
        <f t="shared" si="22"/>
        <v/>
      </c>
      <c r="H334" s="188" t="str">
        <f t="shared" si="23"/>
        <v/>
      </c>
      <c r="I334" s="189"/>
    </row>
    <row r="335" spans="1:9">
      <c r="A335" s="187">
        <v>283</v>
      </c>
      <c r="B335" s="222">
        <v>45727</v>
      </c>
      <c r="C335" s="221">
        <v>206.57750930423285</v>
      </c>
      <c r="D335" s="221">
        <v>129.67177197597073</v>
      </c>
      <c r="E335" s="221">
        <f t="shared" si="20"/>
        <v>129.67177197597073</v>
      </c>
      <c r="F335" s="188" t="str">
        <f t="shared" si="21"/>
        <v/>
      </c>
      <c r="G335" t="str">
        <f t="shared" si="22"/>
        <v/>
      </c>
      <c r="H335" s="188" t="str">
        <f t="shared" si="23"/>
        <v/>
      </c>
      <c r="I335" s="189"/>
    </row>
    <row r="336" spans="1:9">
      <c r="A336" s="187">
        <v>284</v>
      </c>
      <c r="B336" s="222">
        <v>45728</v>
      </c>
      <c r="C336" s="221">
        <v>260.72134208219273</v>
      </c>
      <c r="D336" s="221">
        <v>129.67177197597073</v>
      </c>
      <c r="E336" s="221">
        <f t="shared" si="20"/>
        <v>129.67177197597073</v>
      </c>
      <c r="F336" s="188" t="str">
        <f t="shared" si="21"/>
        <v/>
      </c>
      <c r="G336" t="str">
        <f t="shared" si="22"/>
        <v/>
      </c>
      <c r="H336" s="188" t="str">
        <f t="shared" si="23"/>
        <v/>
      </c>
      <c r="I336" s="189"/>
    </row>
    <row r="337" spans="1:9">
      <c r="A337" s="187">
        <v>285</v>
      </c>
      <c r="B337" s="222">
        <v>45729</v>
      </c>
      <c r="C337" s="221">
        <v>279.58361424218526</v>
      </c>
      <c r="D337" s="221">
        <v>129.67177197597073</v>
      </c>
      <c r="E337" s="221">
        <f t="shared" si="20"/>
        <v>129.67177197597073</v>
      </c>
      <c r="F337" s="188" t="str">
        <f t="shared" si="21"/>
        <v/>
      </c>
      <c r="G337" t="str">
        <f t="shared" si="22"/>
        <v/>
      </c>
      <c r="H337" s="188" t="str">
        <f t="shared" si="23"/>
        <v/>
      </c>
      <c r="I337" s="189"/>
    </row>
    <row r="338" spans="1:9">
      <c r="A338" s="187">
        <v>286</v>
      </c>
      <c r="B338" s="222">
        <v>45730</v>
      </c>
      <c r="C338" s="221">
        <v>269.008879670189</v>
      </c>
      <c r="D338" s="221">
        <v>129.67177197597073</v>
      </c>
      <c r="E338" s="221">
        <f t="shared" si="20"/>
        <v>129.67177197597073</v>
      </c>
      <c r="F338" s="188" t="str">
        <f t="shared" si="21"/>
        <v/>
      </c>
      <c r="G338" t="str">
        <f t="shared" si="22"/>
        <v/>
      </c>
      <c r="H338" s="188" t="str">
        <f t="shared" si="23"/>
        <v/>
      </c>
      <c r="I338" s="189"/>
    </row>
    <row r="339" spans="1:9">
      <c r="A339" s="187">
        <v>287</v>
      </c>
      <c r="B339" s="222">
        <v>45731</v>
      </c>
      <c r="C339" s="221">
        <v>259.37094106618713</v>
      </c>
      <c r="D339" s="221">
        <v>129.67177197597073</v>
      </c>
      <c r="E339" s="221">
        <f t="shared" si="20"/>
        <v>129.67177197597073</v>
      </c>
      <c r="F339" s="188" t="str">
        <f t="shared" si="21"/>
        <v/>
      </c>
      <c r="G339" t="str">
        <f t="shared" si="22"/>
        <v/>
      </c>
      <c r="H339" s="188" t="str">
        <f>IF(DAY(B339)=15,IF(MONTH(B339)=1,"E",IF(MONTH(B339)=2,"F",IF(MONTH(B339)=3,"M",IF(MONTH(B339)=4,"A",IF(MONTH(B339)=5,"M",IF(MONTH(B339)=6,"J",IF(MONTH(B339)=7,"J",IF(MONTH(B339)=8,"A",IF(MONTH(B339)=9,"S",IF(MONTH(B339)=10,"O",IF(MONTH(B339)=11,"N",IF(MONTH(B339)=12,"D","")))))))))))),"")</f>
        <v>M</v>
      </c>
      <c r="I339" s="189">
        <f>IF(DAY(B339)=15,D339,"")</f>
        <v>129.67177197597073</v>
      </c>
    </row>
    <row r="340" spans="1:9">
      <c r="A340" s="187">
        <v>288</v>
      </c>
      <c r="B340" s="222">
        <v>45732</v>
      </c>
      <c r="C340" s="221">
        <v>258.50991149818901</v>
      </c>
      <c r="D340" s="221">
        <v>129.67177197597073</v>
      </c>
      <c r="E340" s="221">
        <f t="shared" si="20"/>
        <v>129.67177197597073</v>
      </c>
      <c r="F340" s="188" t="str">
        <f t="shared" si="21"/>
        <v/>
      </c>
      <c r="G340" t="str">
        <f t="shared" si="22"/>
        <v/>
      </c>
      <c r="H340" s="188" t="str">
        <f t="shared" si="23"/>
        <v/>
      </c>
      <c r="I340" s="189"/>
    </row>
    <row r="341" spans="1:9">
      <c r="A341" s="187">
        <v>289</v>
      </c>
      <c r="B341" s="222">
        <v>45733</v>
      </c>
      <c r="C341" s="221">
        <v>274.74497879018713</v>
      </c>
      <c r="D341" s="221">
        <v>129.67177197597073</v>
      </c>
      <c r="E341" s="221">
        <f t="shared" si="20"/>
        <v>129.67177197597073</v>
      </c>
      <c r="F341" s="188" t="str">
        <f t="shared" si="21"/>
        <v/>
      </c>
      <c r="G341" t="str">
        <f t="shared" si="22"/>
        <v/>
      </c>
      <c r="H341" s="188" t="str">
        <f>IF(DAY(B341)=15,IF(MONTH(B341)=1,"E",IF(MONTH(B341)=2,"F",IF(MONTH(B341)=3,"M",IF(MONTH(B341)=4,"A",IF(MONTH(B341)=5,"M",IF(MONTH(B341)=6,"J",IF(MONTH(B341)=7,"J",IF(MONTH(B341)=8,"A",IF(MONTH(B341)=9,"S",IF(MONTH(B341)=10,"O",IF(MONTH(B341)=11,"N",IF(MONTH(B341)=12,"D","")))))))))))),"")</f>
        <v/>
      </c>
      <c r="I341" s="189"/>
    </row>
    <row r="342" spans="1:9">
      <c r="A342" s="187">
        <v>290</v>
      </c>
      <c r="B342" s="222">
        <v>45734</v>
      </c>
      <c r="C342" s="221">
        <v>268.39013511018896</v>
      </c>
      <c r="D342" s="221">
        <v>129.67177197597073</v>
      </c>
      <c r="E342" s="221">
        <f t="shared" si="20"/>
        <v>129.67177197597073</v>
      </c>
      <c r="F342" s="188" t="str">
        <f t="shared" si="21"/>
        <v/>
      </c>
      <c r="G342" t="str">
        <f t="shared" si="22"/>
        <v/>
      </c>
      <c r="H342" s="188" t="str">
        <f>IF(DAY(B342)=15,IF(MONTH(B342)=1,"E",IF(MONTH(B342)=2,"F",IF(MONTH(B342)=3,"M",IF(MONTH(B342)=4,"A",IF(MONTH(B342)=5,"M",IF(MONTH(B342)=6,"J",IF(MONTH(B342)=7,"J",IF(MONTH(B342)=8,"A",IF(MONTH(B342)=9,"S",IF(MONTH(B342)=10,"O",IF(MONTH(B342)=11,"N",IF(MONTH(B342)=12,"D","")))))))))))),"")</f>
        <v/>
      </c>
      <c r="I342" s="189"/>
    </row>
    <row r="343" spans="1:9">
      <c r="A343" s="187">
        <v>291</v>
      </c>
      <c r="B343" s="222">
        <v>45735</v>
      </c>
      <c r="C343" s="221">
        <v>253.51327585485873</v>
      </c>
      <c r="D343" s="221">
        <v>129.67177197597073</v>
      </c>
      <c r="E343" s="221">
        <f t="shared" si="20"/>
        <v>129.67177197597073</v>
      </c>
      <c r="F343" s="188" t="str">
        <f t="shared" si="21"/>
        <v/>
      </c>
      <c r="G343" t="str">
        <f t="shared" si="22"/>
        <v/>
      </c>
      <c r="H343" s="188" t="str">
        <f t="shared" si="23"/>
        <v/>
      </c>
      <c r="I343" s="189"/>
    </row>
    <row r="344" spans="1:9">
      <c r="A344" s="187">
        <v>292</v>
      </c>
      <c r="B344" s="222">
        <v>45736</v>
      </c>
      <c r="C344" s="221">
        <v>244.80423513085688</v>
      </c>
      <c r="D344" s="221">
        <v>129.67177197597073</v>
      </c>
      <c r="E344" s="221">
        <f t="shared" si="20"/>
        <v>129.67177197597073</v>
      </c>
      <c r="F344" s="188" t="str">
        <f t="shared" si="21"/>
        <v/>
      </c>
      <c r="G344" t="str">
        <f t="shared" si="22"/>
        <v/>
      </c>
      <c r="H344" s="188" t="str">
        <f t="shared" si="23"/>
        <v/>
      </c>
      <c r="I344" s="189"/>
    </row>
    <row r="345" spans="1:9">
      <c r="A345" s="187">
        <v>293</v>
      </c>
      <c r="B345" s="222">
        <v>45737</v>
      </c>
      <c r="C345" s="221">
        <v>249.04932323485875</v>
      </c>
      <c r="D345" s="221">
        <v>129.67177197597073</v>
      </c>
      <c r="E345" s="221">
        <f t="shared" si="20"/>
        <v>129.67177197597073</v>
      </c>
      <c r="F345" s="188" t="str">
        <f t="shared" si="21"/>
        <v/>
      </c>
      <c r="G345" t="str">
        <f t="shared" si="22"/>
        <v/>
      </c>
      <c r="H345" s="188" t="str">
        <f t="shared" si="23"/>
        <v/>
      </c>
      <c r="I345" s="189"/>
    </row>
    <row r="346" spans="1:9">
      <c r="A346" s="187">
        <v>294</v>
      </c>
      <c r="B346" s="222">
        <v>45738</v>
      </c>
      <c r="C346" s="221">
        <v>257.70342058285877</v>
      </c>
      <c r="D346" s="221">
        <v>129.67177197597073</v>
      </c>
      <c r="E346" s="221">
        <f t="shared" si="20"/>
        <v>129.67177197597073</v>
      </c>
      <c r="F346" s="188" t="str">
        <f t="shared" si="21"/>
        <v/>
      </c>
      <c r="G346" t="str">
        <f t="shared" si="22"/>
        <v/>
      </c>
      <c r="H346" s="188" t="str">
        <f t="shared" si="23"/>
        <v/>
      </c>
      <c r="I346" s="189"/>
    </row>
    <row r="347" spans="1:9">
      <c r="A347" s="187">
        <v>295</v>
      </c>
      <c r="B347" s="222">
        <v>45739</v>
      </c>
      <c r="C347" s="221">
        <v>264.51629984285876</v>
      </c>
      <c r="D347" s="221">
        <v>129.67177197597073</v>
      </c>
      <c r="E347" s="221">
        <f t="shared" si="20"/>
        <v>129.67177197597073</v>
      </c>
      <c r="F347" s="188" t="str">
        <f t="shared" si="21"/>
        <v/>
      </c>
      <c r="G347" t="str">
        <f t="shared" si="22"/>
        <v/>
      </c>
      <c r="H347" s="188" t="str">
        <f t="shared" si="23"/>
        <v/>
      </c>
      <c r="I347" s="189"/>
    </row>
    <row r="348" spans="1:9">
      <c r="A348" s="187">
        <v>296</v>
      </c>
      <c r="B348" s="222">
        <v>45740</v>
      </c>
      <c r="C348" s="221">
        <v>287.37526099486064</v>
      </c>
      <c r="D348" s="221">
        <v>129.67177197597073</v>
      </c>
      <c r="E348" s="221">
        <f t="shared" si="20"/>
        <v>129.67177197597073</v>
      </c>
      <c r="F348" s="188" t="str">
        <f t="shared" si="21"/>
        <v/>
      </c>
      <c r="G348" t="str">
        <f t="shared" si="22"/>
        <v/>
      </c>
      <c r="H348" s="188" t="str">
        <f t="shared" si="23"/>
        <v/>
      </c>
      <c r="I348" s="189"/>
    </row>
    <row r="349" spans="1:9">
      <c r="A349" s="187">
        <v>297</v>
      </c>
      <c r="B349" s="222">
        <v>45741</v>
      </c>
      <c r="C349" s="221">
        <v>304.05147339086062</v>
      </c>
      <c r="D349" s="221">
        <v>129.67177197597073</v>
      </c>
      <c r="E349" s="221">
        <f t="shared" si="20"/>
        <v>129.67177197597073</v>
      </c>
      <c r="F349" s="188" t="str">
        <f t="shared" si="21"/>
        <v/>
      </c>
      <c r="G349" t="str">
        <f t="shared" si="22"/>
        <v/>
      </c>
      <c r="H349" s="188" t="str">
        <f t="shared" si="23"/>
        <v/>
      </c>
      <c r="I349" s="189"/>
    </row>
    <row r="350" spans="1:9">
      <c r="A350" s="187">
        <v>298</v>
      </c>
      <c r="B350" s="222">
        <v>45742</v>
      </c>
      <c r="C350" s="221">
        <v>243.45238422999719</v>
      </c>
      <c r="D350" s="221">
        <v>129.67177197597073</v>
      </c>
      <c r="E350" s="221">
        <f t="shared" si="20"/>
        <v>129.67177197597073</v>
      </c>
      <c r="F350" s="188" t="str">
        <f t="shared" si="21"/>
        <v/>
      </c>
      <c r="G350" t="str">
        <f t="shared" si="22"/>
        <v/>
      </c>
      <c r="H350" s="188" t="str">
        <f t="shared" si="23"/>
        <v/>
      </c>
      <c r="I350" s="189"/>
    </row>
    <row r="351" spans="1:9">
      <c r="A351" s="187">
        <v>299</v>
      </c>
      <c r="B351" s="222">
        <v>45743</v>
      </c>
      <c r="C351" s="221">
        <v>244.45377604599909</v>
      </c>
      <c r="D351" s="221">
        <v>129.67177197597073</v>
      </c>
      <c r="E351" s="221">
        <f t="shared" si="20"/>
        <v>129.67177197597073</v>
      </c>
      <c r="F351" s="188" t="str">
        <f t="shared" si="21"/>
        <v/>
      </c>
      <c r="G351" t="str">
        <f t="shared" si="22"/>
        <v/>
      </c>
      <c r="H351" s="188" t="str">
        <f t="shared" si="23"/>
        <v/>
      </c>
      <c r="I351" s="189"/>
    </row>
    <row r="352" spans="1:9">
      <c r="A352" s="187">
        <v>300</v>
      </c>
      <c r="B352" s="222">
        <v>45744</v>
      </c>
      <c r="C352" s="221">
        <v>231.54739772199534</v>
      </c>
      <c r="D352" s="221">
        <v>129.67177197597073</v>
      </c>
      <c r="E352" s="221">
        <f t="shared" si="20"/>
        <v>129.67177197597073</v>
      </c>
      <c r="F352" s="188" t="str">
        <f t="shared" si="21"/>
        <v/>
      </c>
      <c r="G352" t="str">
        <f t="shared" si="22"/>
        <v/>
      </c>
      <c r="H352" s="188" t="str">
        <f t="shared" si="23"/>
        <v/>
      </c>
      <c r="I352" s="189"/>
    </row>
    <row r="353" spans="1:9">
      <c r="A353" s="187">
        <v>301</v>
      </c>
      <c r="B353" s="222">
        <v>45745</v>
      </c>
      <c r="C353" s="221">
        <v>192.43641107399907</v>
      </c>
      <c r="D353" s="221">
        <v>129.67177197597073</v>
      </c>
      <c r="E353" s="221">
        <f t="shared" si="20"/>
        <v>129.67177197597073</v>
      </c>
      <c r="F353" s="188" t="str">
        <f t="shared" si="21"/>
        <v/>
      </c>
      <c r="G353" t="str">
        <f t="shared" si="22"/>
        <v/>
      </c>
      <c r="H353" s="188" t="str">
        <f t="shared" si="23"/>
        <v/>
      </c>
      <c r="I353" s="189"/>
    </row>
    <row r="354" spans="1:9">
      <c r="A354" s="187">
        <v>302</v>
      </c>
      <c r="B354" s="222">
        <v>45746</v>
      </c>
      <c r="C354" s="221">
        <v>164.16849898999905</v>
      </c>
      <c r="D354" s="221">
        <v>129.67177197597073</v>
      </c>
      <c r="E354" s="221">
        <f t="shared" si="20"/>
        <v>129.67177197597073</v>
      </c>
      <c r="F354" s="188" t="str">
        <f t="shared" si="21"/>
        <v/>
      </c>
      <c r="G354" t="str">
        <f t="shared" si="22"/>
        <v/>
      </c>
      <c r="H354" s="188" t="str">
        <f t="shared" si="23"/>
        <v/>
      </c>
      <c r="I354" s="189"/>
    </row>
    <row r="355" spans="1:9">
      <c r="A355" s="187">
        <v>303</v>
      </c>
      <c r="B355" s="222">
        <v>45747</v>
      </c>
      <c r="C355" s="221">
        <v>195.20431016599906</v>
      </c>
      <c r="D355" s="221">
        <v>129.67177197597073</v>
      </c>
      <c r="E355" s="221">
        <f t="shared" si="20"/>
        <v>129.67177197597073</v>
      </c>
      <c r="F355" s="188" t="str">
        <f t="shared" si="21"/>
        <v/>
      </c>
      <c r="G355" t="str">
        <f t="shared" si="22"/>
        <v/>
      </c>
      <c r="H355" s="188" t="str">
        <f t="shared" si="23"/>
        <v/>
      </c>
      <c r="I355" s="189"/>
    </row>
    <row r="356" spans="1:9">
      <c r="A356" s="187">
        <v>304</v>
      </c>
      <c r="B356" s="222">
        <v>45748</v>
      </c>
      <c r="C356" s="221">
        <v>221.26320911799905</v>
      </c>
      <c r="D356" s="221">
        <v>123.24737037204483</v>
      </c>
      <c r="E356" s="221">
        <f t="shared" si="20"/>
        <v>123.24737037204483</v>
      </c>
      <c r="F356" s="188">
        <f t="shared" si="21"/>
        <v>600</v>
      </c>
      <c r="G356" t="str">
        <f t="shared" si="22"/>
        <v/>
      </c>
      <c r="H356" s="188" t="str">
        <f t="shared" si="23"/>
        <v/>
      </c>
      <c r="I356" s="189"/>
    </row>
    <row r="357" spans="1:9">
      <c r="A357" s="187">
        <v>305</v>
      </c>
      <c r="B357" s="222">
        <v>45749</v>
      </c>
      <c r="C357" s="221">
        <v>180.55333993612359</v>
      </c>
      <c r="D357" s="221">
        <v>123.24737037204483</v>
      </c>
      <c r="E357" s="221">
        <f t="shared" si="20"/>
        <v>123.24737037204483</v>
      </c>
      <c r="F357" s="188" t="str">
        <f t="shared" si="21"/>
        <v/>
      </c>
      <c r="G357" t="str">
        <f t="shared" si="22"/>
        <v/>
      </c>
      <c r="H357" s="188" t="str">
        <f t="shared" si="23"/>
        <v/>
      </c>
      <c r="I357" s="189"/>
    </row>
    <row r="358" spans="1:9">
      <c r="A358" s="187">
        <v>306</v>
      </c>
      <c r="B358" s="222">
        <v>45750</v>
      </c>
      <c r="C358" s="221">
        <v>180.96091761611987</v>
      </c>
      <c r="D358" s="221">
        <v>123.24737037204483</v>
      </c>
      <c r="E358" s="221">
        <f t="shared" si="20"/>
        <v>123.24737037204483</v>
      </c>
      <c r="F358" s="188" t="str">
        <f t="shared" si="21"/>
        <v/>
      </c>
      <c r="G358" t="str">
        <f>IF(MONTH(B358)=1,IF(DAY(B358)=1,YEAR(B358),""),"")</f>
        <v/>
      </c>
      <c r="H358" s="188" t="str">
        <f t="shared" si="23"/>
        <v/>
      </c>
      <c r="I358" s="189"/>
    </row>
    <row r="359" spans="1:9">
      <c r="A359" s="187">
        <v>307</v>
      </c>
      <c r="B359" s="222">
        <v>45751</v>
      </c>
      <c r="C359" s="221">
        <v>168.0264570641236</v>
      </c>
      <c r="D359" s="221">
        <v>123.24737037204483</v>
      </c>
      <c r="E359" s="221">
        <f t="shared" si="20"/>
        <v>123.24737037204483</v>
      </c>
      <c r="F359" s="188" t="str">
        <f t="shared" si="21"/>
        <v/>
      </c>
      <c r="G359" t="str">
        <f t="shared" si="22"/>
        <v/>
      </c>
      <c r="H359" s="188" t="str">
        <f t="shared" si="23"/>
        <v/>
      </c>
      <c r="I359" s="189"/>
    </row>
    <row r="360" spans="1:9">
      <c r="A360" s="187">
        <v>308</v>
      </c>
      <c r="B360" s="222">
        <v>45752</v>
      </c>
      <c r="C360" s="221">
        <v>159.83679114012355</v>
      </c>
      <c r="D360" s="221">
        <v>123.24737037204483</v>
      </c>
      <c r="E360" s="221">
        <f t="shared" si="20"/>
        <v>123.24737037204483</v>
      </c>
      <c r="F360" s="188" t="str">
        <f t="shared" si="21"/>
        <v/>
      </c>
      <c r="G360" t="str">
        <f t="shared" si="22"/>
        <v/>
      </c>
      <c r="H360" s="188" t="str">
        <f t="shared" si="23"/>
        <v/>
      </c>
      <c r="I360" s="189"/>
    </row>
    <row r="361" spans="1:9">
      <c r="A361" s="187">
        <v>309</v>
      </c>
      <c r="B361" s="222">
        <v>45753</v>
      </c>
      <c r="C361" s="221">
        <v>156.55629739611985</v>
      </c>
      <c r="D361" s="221">
        <v>123.24737037204483</v>
      </c>
      <c r="E361" s="221">
        <f t="shared" si="20"/>
        <v>123.24737037204483</v>
      </c>
      <c r="F361" s="188" t="str">
        <f t="shared" si="21"/>
        <v/>
      </c>
      <c r="G361" t="str">
        <f t="shared" si="22"/>
        <v/>
      </c>
      <c r="H361" s="188" t="str">
        <f t="shared" si="23"/>
        <v/>
      </c>
      <c r="I361" s="189"/>
    </row>
    <row r="362" spans="1:9">
      <c r="A362" s="187">
        <v>310</v>
      </c>
      <c r="B362" s="222">
        <v>45754</v>
      </c>
      <c r="C362" s="221">
        <v>182.76668061212357</v>
      </c>
      <c r="D362" s="221">
        <v>123.24737037204483</v>
      </c>
      <c r="E362" s="221">
        <f t="shared" si="20"/>
        <v>123.24737037204483</v>
      </c>
      <c r="F362" s="188" t="str">
        <f t="shared" si="21"/>
        <v/>
      </c>
      <c r="G362" t="str">
        <f t="shared" si="22"/>
        <v/>
      </c>
      <c r="H362" s="188" t="str">
        <f t="shared" si="23"/>
        <v/>
      </c>
      <c r="I362" s="189"/>
    </row>
    <row r="363" spans="1:9">
      <c r="A363" s="187">
        <v>311</v>
      </c>
      <c r="B363" s="222">
        <v>45755</v>
      </c>
      <c r="C363" s="221">
        <v>188.01215362812172</v>
      </c>
      <c r="D363" s="221">
        <v>123.24737037204483</v>
      </c>
      <c r="E363" s="221">
        <f t="shared" si="20"/>
        <v>123.24737037204483</v>
      </c>
      <c r="F363" s="188" t="str">
        <f t="shared" si="21"/>
        <v/>
      </c>
      <c r="G363" t="str">
        <f t="shared" si="22"/>
        <v/>
      </c>
      <c r="H363" s="188" t="str">
        <f t="shared" si="23"/>
        <v/>
      </c>
      <c r="I363" s="189"/>
    </row>
    <row r="364" spans="1:9">
      <c r="A364" s="187">
        <v>312</v>
      </c>
      <c r="B364" s="222">
        <v>45756</v>
      </c>
      <c r="C364" s="221">
        <v>173.92783060485559</v>
      </c>
      <c r="D364" s="221">
        <v>123.24737037204483</v>
      </c>
      <c r="E364" s="221">
        <f t="shared" si="20"/>
        <v>123.24737037204483</v>
      </c>
      <c r="F364" s="188" t="str">
        <f t="shared" si="21"/>
        <v/>
      </c>
      <c r="G364" t="str">
        <f t="shared" si="22"/>
        <v/>
      </c>
      <c r="H364" s="188" t="str">
        <f t="shared" si="23"/>
        <v/>
      </c>
      <c r="I364" s="189"/>
    </row>
    <row r="365" spans="1:9">
      <c r="A365" s="187">
        <v>313</v>
      </c>
      <c r="B365" s="222">
        <v>45757</v>
      </c>
      <c r="C365" s="221">
        <v>156.26349872885743</v>
      </c>
      <c r="D365" s="221">
        <v>123.24737037204483</v>
      </c>
      <c r="E365" s="221">
        <f t="shared" si="20"/>
        <v>123.24737037204483</v>
      </c>
      <c r="F365" s="188" t="str">
        <f t="shared" si="21"/>
        <v/>
      </c>
      <c r="G365" t="str">
        <f t="shared" si="22"/>
        <v/>
      </c>
      <c r="H365" s="188" t="str">
        <f t="shared" si="23"/>
        <v/>
      </c>
      <c r="I365" s="189"/>
    </row>
    <row r="366" spans="1:9">
      <c r="A366" s="187">
        <v>314</v>
      </c>
      <c r="B366" s="222">
        <v>45758</v>
      </c>
      <c r="C366" s="221">
        <v>162.35088714885558</v>
      </c>
      <c r="D366" s="221">
        <v>123.24737037204483</v>
      </c>
      <c r="E366" s="221">
        <f t="shared" si="20"/>
        <v>123.24737037204483</v>
      </c>
      <c r="F366" s="188" t="str">
        <f t="shared" si="21"/>
        <v/>
      </c>
      <c r="G366" t="str">
        <f t="shared" si="22"/>
        <v/>
      </c>
      <c r="H366" s="188" t="str">
        <f t="shared" si="23"/>
        <v/>
      </c>
      <c r="I366" s="189"/>
    </row>
    <row r="367" spans="1:9">
      <c r="A367" s="187">
        <v>315</v>
      </c>
      <c r="B367" s="222">
        <v>45759</v>
      </c>
      <c r="C367" s="221">
        <v>167.50081851285557</v>
      </c>
      <c r="D367" s="221">
        <v>123.24737037204483</v>
      </c>
      <c r="E367" s="221">
        <f t="shared" si="20"/>
        <v>123.24737037204483</v>
      </c>
      <c r="F367" s="188" t="str">
        <f t="shared" si="21"/>
        <v/>
      </c>
      <c r="G367" t="str">
        <f t="shared" si="22"/>
        <v/>
      </c>
      <c r="H367" s="188" t="str">
        <f t="shared" si="23"/>
        <v/>
      </c>
      <c r="I367" s="189"/>
    </row>
    <row r="368" spans="1:9">
      <c r="A368" s="187">
        <v>316</v>
      </c>
      <c r="B368" s="222">
        <v>45760</v>
      </c>
      <c r="C368" s="221">
        <v>150.47629389685369</v>
      </c>
      <c r="D368" s="221">
        <v>123.24737037204483</v>
      </c>
      <c r="E368" s="221">
        <f t="shared" si="20"/>
        <v>123.24737037204483</v>
      </c>
      <c r="F368" s="188" t="str">
        <f t="shared" si="21"/>
        <v/>
      </c>
      <c r="G368" t="str">
        <f t="shared" si="22"/>
        <v/>
      </c>
      <c r="H368" s="188" t="str">
        <f t="shared" si="23"/>
        <v/>
      </c>
      <c r="I368" s="189"/>
    </row>
    <row r="369" spans="1:9">
      <c r="A369" s="187">
        <v>317</v>
      </c>
      <c r="B369" s="222">
        <v>45761</v>
      </c>
      <c r="C369" s="221">
        <v>158.20379072486116</v>
      </c>
      <c r="D369" s="221">
        <v>123.24737037204483</v>
      </c>
      <c r="E369" s="221">
        <f t="shared" si="20"/>
        <v>123.24737037204483</v>
      </c>
      <c r="F369" s="188" t="str">
        <f t="shared" si="21"/>
        <v/>
      </c>
      <c r="G369" t="str">
        <f t="shared" si="22"/>
        <v/>
      </c>
      <c r="H369" s="188" t="str">
        <f>IF(DAY(B369)=15,IF(MONTH(B369)=1,"E",IF(MONTH(B369)=2,"F",IF(MONTH(B369)=3,"M",IF(MONTH(B369)=4,"A",IF(MONTH(B369)=5,"M",IF(MONTH(B369)=6,"J",IF(MONTH(B369)=7,"J",IF(MONTH(B369)=8,"A",IF(MONTH(B369)=9,"S",IF(MONTH(B369)=10,"O",IF(MONTH(B369)=11,"N",IF(MONTH(B369)=12,"D","")))))))))))),"")</f>
        <v/>
      </c>
      <c r="I369" s="189"/>
    </row>
    <row r="370" spans="1:9">
      <c r="A370" s="187">
        <v>318</v>
      </c>
      <c r="B370" s="222">
        <v>45762</v>
      </c>
      <c r="C370" s="221">
        <v>143.51007596885557</v>
      </c>
      <c r="D370" s="221">
        <v>123.24737037204483</v>
      </c>
      <c r="E370" s="221">
        <f t="shared" si="20"/>
        <v>123.24737037204483</v>
      </c>
      <c r="F370" s="188" t="str">
        <f t="shared" si="21"/>
        <v/>
      </c>
      <c r="G370" t="str">
        <f t="shared" si="22"/>
        <v/>
      </c>
      <c r="H370" s="188" t="str">
        <f>IF(DAY(B370)=15,IF(MONTH(B370)=1,"E",IF(MONTH(B370)=2,"F",IF(MONTH(B370)=3,"M",IF(MONTH(B370)=4,"A",IF(MONTH(B370)=5,"M",IF(MONTH(B370)=6,"J",IF(MONTH(B370)=7,"J",IF(MONTH(B370)=8,"A",IF(MONTH(B370)=9,"S",IF(MONTH(B370)=10,"O",IF(MONTH(B370)=11,"N",IF(MONTH(B370)=12,"D","")))))))))))),"")</f>
        <v>A</v>
      </c>
      <c r="I370" s="189">
        <f>IF(DAY(B370)=15,D370,"")</f>
        <v>123.24737037204483</v>
      </c>
    </row>
    <row r="371" spans="1:9">
      <c r="A371" s="187">
        <v>319</v>
      </c>
      <c r="B371" s="222">
        <v>45763</v>
      </c>
      <c r="C371" s="221">
        <v>199.65495369631856</v>
      </c>
      <c r="D371" s="221">
        <v>123.24737037204483</v>
      </c>
      <c r="E371" s="221">
        <f t="shared" si="20"/>
        <v>123.24737037204483</v>
      </c>
      <c r="F371" s="188" t="str">
        <f t="shared" si="21"/>
        <v/>
      </c>
      <c r="G371" t="str">
        <f t="shared" si="22"/>
        <v/>
      </c>
      <c r="H371" s="188" t="str">
        <f t="shared" si="23"/>
        <v/>
      </c>
      <c r="I371" s="189"/>
    </row>
    <row r="372" spans="1:9">
      <c r="A372" s="187">
        <v>320</v>
      </c>
      <c r="B372" s="222">
        <v>45764</v>
      </c>
      <c r="C372" s="221">
        <v>196.65069835632417</v>
      </c>
      <c r="D372" s="221">
        <v>123.24737037204483</v>
      </c>
      <c r="E372" s="221">
        <f t="shared" ref="E372:E435" si="24">IF(C372&lt;D372,C372,D372)</f>
        <v>123.24737037204483</v>
      </c>
      <c r="F372" s="188" t="str">
        <f t="shared" ref="F372:F435" si="25">IF(DAY(B372)=1,600,"")</f>
        <v/>
      </c>
      <c r="G372" t="str">
        <f t="shared" si="22"/>
        <v/>
      </c>
      <c r="H372" s="188" t="str">
        <f>IF(DAY(B372)=15,IF(MONTH(B372)=1,"E",IF(MONTH(B372)=2,"F",IF(MONTH(B372)=3,"M",IF(MONTH(B372)=4,"A",IF(MONTH(B372)=5,"M",IF(MONTH(B372)=6,"J",IF(MONTH(B372)=7,"J",IF(MONTH(B372)=8,"A",IF(MONTH(B372)=9,"S",IF(MONTH(B372)=10,"O",IF(MONTH(B372)=11,"N",IF(MONTH(B372)=12,"D","")))))))))))),"")</f>
        <v/>
      </c>
      <c r="I372" s="189"/>
    </row>
    <row r="373" spans="1:9">
      <c r="A373" s="187">
        <v>321</v>
      </c>
      <c r="B373" s="222">
        <v>45765</v>
      </c>
      <c r="C373" s="221">
        <v>192.75560723632046</v>
      </c>
      <c r="D373" s="221">
        <v>123.24737037204483</v>
      </c>
      <c r="E373" s="221">
        <f t="shared" si="24"/>
        <v>123.24737037204483</v>
      </c>
      <c r="F373" s="188" t="str">
        <f t="shared" si="25"/>
        <v/>
      </c>
      <c r="G373" t="str">
        <f t="shared" si="22"/>
        <v/>
      </c>
      <c r="H373" s="188" t="str">
        <f t="shared" si="23"/>
        <v/>
      </c>
      <c r="I373" s="189"/>
    </row>
    <row r="374" spans="1:9">
      <c r="A374" s="187">
        <v>322</v>
      </c>
      <c r="B374" s="222">
        <v>45766</v>
      </c>
      <c r="C374" s="221">
        <v>184.53763434032228</v>
      </c>
      <c r="D374" s="221">
        <v>123.24737037204483</v>
      </c>
      <c r="E374" s="221">
        <f t="shared" si="24"/>
        <v>123.24737037204483</v>
      </c>
      <c r="F374" s="188" t="str">
        <f t="shared" si="25"/>
        <v/>
      </c>
      <c r="G374" t="str">
        <f t="shared" ref="G374:G437" si="26">IF(MONTH(B374)=1,IF(DAY(B374)=1,YEAR(B374),""),"")</f>
        <v/>
      </c>
      <c r="H374" s="188" t="str">
        <f t="shared" si="23"/>
        <v/>
      </c>
      <c r="I374" s="189"/>
    </row>
    <row r="375" spans="1:9">
      <c r="A375" s="187">
        <v>323</v>
      </c>
      <c r="B375" s="222">
        <v>45767</v>
      </c>
      <c r="C375" s="221">
        <v>200.91232633632416</v>
      </c>
      <c r="D375" s="221">
        <v>123.24737037204483</v>
      </c>
      <c r="E375" s="221">
        <f t="shared" si="24"/>
        <v>123.24737037204483</v>
      </c>
      <c r="F375" s="188" t="str">
        <f t="shared" si="25"/>
        <v/>
      </c>
      <c r="G375" t="str">
        <f t="shared" si="26"/>
        <v/>
      </c>
      <c r="H375" s="188" t="str">
        <f t="shared" si="23"/>
        <v/>
      </c>
      <c r="I375" s="189"/>
    </row>
    <row r="376" spans="1:9">
      <c r="A376" s="187">
        <v>324</v>
      </c>
      <c r="B376" s="222">
        <v>45768</v>
      </c>
      <c r="C376" s="221">
        <v>230.91631107632045</v>
      </c>
      <c r="D376" s="221">
        <v>123.24737037204483</v>
      </c>
      <c r="E376" s="221">
        <f t="shared" si="24"/>
        <v>123.24737037204483</v>
      </c>
      <c r="F376" s="188" t="str">
        <f t="shared" si="25"/>
        <v/>
      </c>
      <c r="G376" t="str">
        <f t="shared" si="26"/>
        <v/>
      </c>
      <c r="H376" s="188" t="str">
        <f t="shared" si="23"/>
        <v/>
      </c>
      <c r="I376" s="189"/>
    </row>
    <row r="377" spans="1:9">
      <c r="A377" s="187">
        <v>325</v>
      </c>
      <c r="B377" s="222">
        <v>45769</v>
      </c>
      <c r="C377" s="221">
        <v>247.08795600432603</v>
      </c>
      <c r="D377" s="221">
        <v>123.24737037204483</v>
      </c>
      <c r="E377" s="221">
        <f t="shared" si="24"/>
        <v>123.24737037204483</v>
      </c>
      <c r="F377" s="188" t="str">
        <f t="shared" si="25"/>
        <v/>
      </c>
      <c r="G377" t="str">
        <f t="shared" si="26"/>
        <v/>
      </c>
      <c r="H377" s="188" t="str">
        <f t="shared" si="23"/>
        <v/>
      </c>
      <c r="I377" s="189"/>
    </row>
    <row r="378" spans="1:9">
      <c r="A378" s="187">
        <v>326</v>
      </c>
      <c r="B378" s="222">
        <v>45770</v>
      </c>
      <c r="C378" s="221">
        <v>198.17274472807989</v>
      </c>
      <c r="D378" s="221">
        <v>123.24737037204483</v>
      </c>
      <c r="E378" s="221">
        <f t="shared" si="24"/>
        <v>123.24737037204483</v>
      </c>
      <c r="F378" s="188" t="str">
        <f t="shared" si="25"/>
        <v/>
      </c>
      <c r="G378" t="str">
        <f t="shared" si="26"/>
        <v/>
      </c>
      <c r="H378" s="188" t="str">
        <f t="shared" si="23"/>
        <v/>
      </c>
      <c r="I378" s="189"/>
    </row>
    <row r="379" spans="1:9">
      <c r="A379" s="187">
        <v>327</v>
      </c>
      <c r="B379" s="222">
        <v>45771</v>
      </c>
      <c r="C379" s="221">
        <v>181.11172907207802</v>
      </c>
      <c r="D379" s="221">
        <v>123.24737037204483</v>
      </c>
      <c r="E379" s="221">
        <f t="shared" si="24"/>
        <v>123.24737037204483</v>
      </c>
      <c r="F379" s="188" t="str">
        <f t="shared" si="25"/>
        <v/>
      </c>
      <c r="G379" t="str">
        <f t="shared" si="26"/>
        <v/>
      </c>
      <c r="H379" s="188" t="str">
        <f t="shared" si="23"/>
        <v/>
      </c>
      <c r="I379" s="189"/>
    </row>
    <row r="380" spans="1:9">
      <c r="A380" s="187">
        <v>328</v>
      </c>
      <c r="B380" s="222">
        <v>45772</v>
      </c>
      <c r="C380" s="221">
        <v>183.71328016008175</v>
      </c>
      <c r="D380" s="221">
        <v>123.24737037204483</v>
      </c>
      <c r="E380" s="221">
        <f t="shared" si="24"/>
        <v>123.24737037204483</v>
      </c>
      <c r="F380" s="188" t="str">
        <f t="shared" si="25"/>
        <v/>
      </c>
      <c r="G380" t="str">
        <f t="shared" si="26"/>
        <v/>
      </c>
      <c r="H380" s="188" t="str">
        <f t="shared" si="23"/>
        <v/>
      </c>
      <c r="I380" s="189"/>
    </row>
    <row r="381" spans="1:9">
      <c r="A381" s="187">
        <v>329</v>
      </c>
      <c r="B381" s="222">
        <v>45773</v>
      </c>
      <c r="C381" s="221">
        <v>149.44226425208362</v>
      </c>
      <c r="D381" s="221">
        <v>123.24737037204483</v>
      </c>
      <c r="E381" s="221">
        <f t="shared" si="24"/>
        <v>123.24737037204483</v>
      </c>
      <c r="F381" s="188" t="str">
        <f t="shared" si="25"/>
        <v/>
      </c>
      <c r="G381" t="str">
        <f t="shared" si="26"/>
        <v/>
      </c>
      <c r="H381" s="188" t="str">
        <f t="shared" si="23"/>
        <v/>
      </c>
      <c r="I381" s="189"/>
    </row>
    <row r="382" spans="1:9">
      <c r="A382" s="187">
        <v>330</v>
      </c>
      <c r="B382" s="222">
        <v>45774</v>
      </c>
      <c r="C382" s="221">
        <v>134.9404650680836</v>
      </c>
      <c r="D382" s="221">
        <v>123.24737037204483</v>
      </c>
      <c r="E382" s="221">
        <f t="shared" si="24"/>
        <v>123.24737037204483</v>
      </c>
      <c r="F382" s="188" t="str">
        <f t="shared" si="25"/>
        <v/>
      </c>
      <c r="G382" t="str">
        <f t="shared" si="26"/>
        <v/>
      </c>
      <c r="H382" s="188" t="str">
        <f t="shared" si="23"/>
        <v/>
      </c>
      <c r="I382" s="189"/>
    </row>
    <row r="383" spans="1:9">
      <c r="A383" s="187">
        <v>331</v>
      </c>
      <c r="B383" s="222">
        <v>45775</v>
      </c>
      <c r="C383" s="221">
        <v>135.31203220407616</v>
      </c>
      <c r="D383" s="221">
        <v>123.24737037204483</v>
      </c>
      <c r="E383" s="221">
        <f t="shared" si="24"/>
        <v>123.24737037204483</v>
      </c>
      <c r="F383" s="188" t="str">
        <f t="shared" si="25"/>
        <v/>
      </c>
      <c r="G383" t="str">
        <f t="shared" si="26"/>
        <v/>
      </c>
      <c r="H383" s="188" t="str">
        <f t="shared" si="23"/>
        <v/>
      </c>
      <c r="I383" s="189"/>
    </row>
    <row r="384" spans="1:9">
      <c r="A384" s="187">
        <v>332</v>
      </c>
      <c r="B384" s="222">
        <v>45776</v>
      </c>
      <c r="C384" s="221">
        <v>199.45855122908358</v>
      </c>
      <c r="D384" s="221">
        <v>123.24737037204483</v>
      </c>
      <c r="E384" s="221">
        <f t="shared" si="24"/>
        <v>123.24737037204483</v>
      </c>
      <c r="F384" s="188" t="str">
        <f t="shared" si="25"/>
        <v/>
      </c>
      <c r="G384" t="str">
        <f t="shared" si="26"/>
        <v/>
      </c>
      <c r="H384" s="188" t="str">
        <f t="shared" si="23"/>
        <v/>
      </c>
      <c r="I384" s="189"/>
    </row>
    <row r="385" spans="1:9">
      <c r="A385" s="187">
        <v>333</v>
      </c>
      <c r="B385" s="222">
        <v>45777</v>
      </c>
      <c r="C385" s="221">
        <v>158.02199179189697</v>
      </c>
      <c r="D385" s="221">
        <v>123.24737037204483</v>
      </c>
      <c r="E385" s="221">
        <f t="shared" si="24"/>
        <v>123.24737037204483</v>
      </c>
      <c r="F385" s="188" t="str">
        <f t="shared" si="25"/>
        <v/>
      </c>
      <c r="G385" t="str">
        <f t="shared" si="26"/>
        <v/>
      </c>
      <c r="H385" s="188" t="str">
        <f t="shared" si="23"/>
        <v/>
      </c>
      <c r="I385" s="189"/>
    </row>
    <row r="386" spans="1:9">
      <c r="A386" s="187">
        <v>334</v>
      </c>
      <c r="B386" s="222">
        <v>45778</v>
      </c>
      <c r="C386" s="221">
        <v>140.25307234489512</v>
      </c>
      <c r="D386" s="221">
        <v>94.081084096418962</v>
      </c>
      <c r="E386" s="221">
        <f t="shared" si="24"/>
        <v>94.081084096418962</v>
      </c>
      <c r="F386" s="188">
        <f t="shared" si="25"/>
        <v>600</v>
      </c>
      <c r="G386" t="str">
        <f t="shared" si="26"/>
        <v/>
      </c>
      <c r="H386" s="188" t="str">
        <f t="shared" si="23"/>
        <v/>
      </c>
      <c r="I386" s="189"/>
    </row>
    <row r="387" spans="1:9">
      <c r="A387" s="187">
        <v>335</v>
      </c>
      <c r="B387" s="222">
        <v>45779</v>
      </c>
      <c r="C387" s="221">
        <v>142.88925054489511</v>
      </c>
      <c r="D387" s="221">
        <v>94.081084096418962</v>
      </c>
      <c r="E387" s="221">
        <f t="shared" si="24"/>
        <v>94.081084096418962</v>
      </c>
      <c r="F387" s="188" t="str">
        <f t="shared" si="25"/>
        <v/>
      </c>
      <c r="G387" t="str">
        <f t="shared" si="26"/>
        <v/>
      </c>
      <c r="H387" s="188" t="str">
        <f t="shared" ref="H387:H450" si="27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I387" s="189"/>
    </row>
    <row r="388" spans="1:9">
      <c r="A388" s="187">
        <v>336</v>
      </c>
      <c r="B388" s="222">
        <v>45780</v>
      </c>
      <c r="C388" s="221">
        <v>143.15347762089323</v>
      </c>
      <c r="D388" s="221">
        <v>94.081084096418962</v>
      </c>
      <c r="E388" s="221">
        <f t="shared" si="24"/>
        <v>94.081084096418962</v>
      </c>
      <c r="F388" s="188" t="str">
        <f t="shared" si="25"/>
        <v/>
      </c>
      <c r="G388" t="str">
        <f t="shared" si="26"/>
        <v/>
      </c>
      <c r="H388" s="188" t="str">
        <f t="shared" si="27"/>
        <v/>
      </c>
      <c r="I388" s="189"/>
    </row>
    <row r="389" spans="1:9">
      <c r="A389" s="187">
        <v>337</v>
      </c>
      <c r="B389" s="222">
        <v>45781</v>
      </c>
      <c r="C389" s="221">
        <v>135.60109949689323</v>
      </c>
      <c r="D389" s="221">
        <v>94.081084096418962</v>
      </c>
      <c r="E389" s="221">
        <f t="shared" si="24"/>
        <v>94.081084096418962</v>
      </c>
      <c r="F389" s="188" t="str">
        <f t="shared" si="25"/>
        <v/>
      </c>
      <c r="G389" t="str">
        <f t="shared" si="26"/>
        <v/>
      </c>
      <c r="H389" s="188" t="str">
        <f t="shared" si="27"/>
        <v/>
      </c>
      <c r="I389" s="189"/>
    </row>
    <row r="390" spans="1:9">
      <c r="A390" s="187">
        <v>338</v>
      </c>
      <c r="B390" s="222">
        <v>45782</v>
      </c>
      <c r="C390" s="221">
        <v>149.30862135689694</v>
      </c>
      <c r="D390" s="221">
        <v>94.081084096418962</v>
      </c>
      <c r="E390" s="221">
        <f t="shared" si="24"/>
        <v>94.081084096418962</v>
      </c>
      <c r="F390" s="188" t="str">
        <f t="shared" si="25"/>
        <v/>
      </c>
      <c r="G390" t="str">
        <f t="shared" si="26"/>
        <v/>
      </c>
      <c r="H390" s="188" t="str">
        <f t="shared" si="27"/>
        <v/>
      </c>
      <c r="I390" s="189"/>
    </row>
    <row r="391" spans="1:9">
      <c r="A391" s="187">
        <v>339</v>
      </c>
      <c r="B391" s="222">
        <v>45783</v>
      </c>
      <c r="C391" s="221">
        <v>157.61868216089508</v>
      </c>
      <c r="D391" s="221">
        <v>94.081084096418962</v>
      </c>
      <c r="E391" s="221">
        <f t="shared" si="24"/>
        <v>94.081084096418962</v>
      </c>
      <c r="F391" s="188" t="str">
        <f t="shared" si="25"/>
        <v/>
      </c>
      <c r="G391" t="str">
        <f t="shared" si="26"/>
        <v/>
      </c>
      <c r="H391" s="188" t="str">
        <f t="shared" si="27"/>
        <v/>
      </c>
      <c r="I391" s="189"/>
    </row>
    <row r="392" spans="1:9">
      <c r="A392" s="187">
        <v>340</v>
      </c>
      <c r="B392" s="222">
        <v>45784</v>
      </c>
      <c r="C392" s="221">
        <v>154.78379642813192</v>
      </c>
      <c r="D392" s="221">
        <v>94.081084096418962</v>
      </c>
      <c r="E392" s="221">
        <f t="shared" si="24"/>
        <v>94.081084096418962</v>
      </c>
      <c r="F392" s="188" t="str">
        <f t="shared" si="25"/>
        <v/>
      </c>
      <c r="G392" t="str">
        <f t="shared" si="26"/>
        <v/>
      </c>
      <c r="H392" s="188" t="str">
        <f t="shared" si="27"/>
        <v/>
      </c>
      <c r="I392" s="189"/>
    </row>
    <row r="393" spans="1:9">
      <c r="A393" s="187">
        <v>341</v>
      </c>
      <c r="B393" s="222">
        <v>45785</v>
      </c>
      <c r="C393" s="221">
        <v>172.89479393213193</v>
      </c>
      <c r="D393" s="221">
        <v>94.081084096418962</v>
      </c>
      <c r="E393" s="221">
        <f t="shared" si="24"/>
        <v>94.081084096418962</v>
      </c>
      <c r="F393" s="188" t="str">
        <f t="shared" si="25"/>
        <v/>
      </c>
      <c r="G393" t="str">
        <f t="shared" si="26"/>
        <v/>
      </c>
      <c r="H393" s="188" t="str">
        <f t="shared" si="27"/>
        <v/>
      </c>
      <c r="I393" s="189"/>
    </row>
    <row r="394" spans="1:9">
      <c r="A394" s="187">
        <v>342</v>
      </c>
      <c r="B394" s="222">
        <v>45786</v>
      </c>
      <c r="C394" s="221">
        <v>172.15956175713379</v>
      </c>
      <c r="D394" s="221">
        <v>94.081084096418962</v>
      </c>
      <c r="E394" s="221">
        <f t="shared" si="24"/>
        <v>94.081084096418962</v>
      </c>
      <c r="F394" s="188" t="str">
        <f t="shared" si="25"/>
        <v/>
      </c>
      <c r="G394" t="str">
        <f t="shared" si="26"/>
        <v/>
      </c>
      <c r="H394" s="188" t="str">
        <f t="shared" si="27"/>
        <v/>
      </c>
      <c r="I394" s="189"/>
    </row>
    <row r="395" spans="1:9">
      <c r="A395" s="187">
        <v>343</v>
      </c>
      <c r="B395" s="222">
        <v>45787</v>
      </c>
      <c r="C395" s="221">
        <v>137.88510202413005</v>
      </c>
      <c r="D395" s="221">
        <v>94.081084096418962</v>
      </c>
      <c r="E395" s="221">
        <f t="shared" si="24"/>
        <v>94.081084096418962</v>
      </c>
      <c r="F395" s="188" t="str">
        <f t="shared" si="25"/>
        <v/>
      </c>
      <c r="G395" t="str">
        <f t="shared" si="26"/>
        <v/>
      </c>
      <c r="H395" s="188" t="str">
        <f t="shared" si="27"/>
        <v/>
      </c>
      <c r="I395" s="189"/>
    </row>
    <row r="396" spans="1:9">
      <c r="A396" s="187">
        <v>344</v>
      </c>
      <c r="B396" s="222">
        <v>45788</v>
      </c>
      <c r="C396" s="221">
        <v>125.86709891913192</v>
      </c>
      <c r="D396" s="221">
        <v>94.081084096418962</v>
      </c>
      <c r="E396" s="221">
        <f t="shared" si="24"/>
        <v>94.081084096418962</v>
      </c>
      <c r="F396" s="188" t="str">
        <f t="shared" si="25"/>
        <v/>
      </c>
      <c r="G396" t="str">
        <f t="shared" si="26"/>
        <v/>
      </c>
      <c r="H396" s="188" t="str">
        <f t="shared" si="27"/>
        <v/>
      </c>
      <c r="I396" s="189"/>
    </row>
    <row r="397" spans="1:9">
      <c r="A397" s="187">
        <v>345</v>
      </c>
      <c r="B397" s="222">
        <v>45789</v>
      </c>
      <c r="C397" s="221">
        <v>153.68796154513379</v>
      </c>
      <c r="D397" s="221">
        <v>94.081084096418962</v>
      </c>
      <c r="E397" s="221">
        <f t="shared" si="24"/>
        <v>94.081084096418962</v>
      </c>
      <c r="F397" s="188" t="str">
        <f t="shared" si="25"/>
        <v/>
      </c>
      <c r="G397" t="str">
        <f t="shared" si="26"/>
        <v/>
      </c>
      <c r="H397" s="188" t="str">
        <f t="shared" si="27"/>
        <v/>
      </c>
      <c r="I397" s="189"/>
    </row>
    <row r="398" spans="1:9">
      <c r="A398" s="187">
        <v>346</v>
      </c>
      <c r="B398" s="222">
        <v>45790</v>
      </c>
      <c r="C398" s="221">
        <v>153.25641872713376</v>
      </c>
      <c r="D398" s="221">
        <v>94.081084096418962</v>
      </c>
      <c r="E398" s="221">
        <f t="shared" si="24"/>
        <v>94.081084096418962</v>
      </c>
      <c r="F398" s="188" t="str">
        <f t="shared" si="25"/>
        <v/>
      </c>
      <c r="G398" t="str">
        <f t="shared" si="26"/>
        <v/>
      </c>
      <c r="H398" s="188" t="str">
        <f t="shared" si="27"/>
        <v/>
      </c>
      <c r="I398" s="189"/>
    </row>
    <row r="399" spans="1:9">
      <c r="A399" s="187">
        <v>347</v>
      </c>
      <c r="B399" s="222">
        <v>45791</v>
      </c>
      <c r="C399" s="221">
        <v>161.97337265030592</v>
      </c>
      <c r="D399" s="221">
        <v>94.081084096418962</v>
      </c>
      <c r="E399" s="221">
        <f t="shared" si="24"/>
        <v>94.081084096418962</v>
      </c>
      <c r="F399" s="188" t="str">
        <f t="shared" si="25"/>
        <v/>
      </c>
      <c r="G399" t="str">
        <f t="shared" si="26"/>
        <v/>
      </c>
      <c r="H399" s="188" t="str">
        <f t="shared" si="27"/>
        <v/>
      </c>
      <c r="I399" s="189"/>
    </row>
    <row r="400" spans="1:9">
      <c r="A400" s="187">
        <v>348</v>
      </c>
      <c r="B400" s="222">
        <v>45792</v>
      </c>
      <c r="C400" s="221">
        <v>154.15687016230777</v>
      </c>
      <c r="D400" s="221">
        <v>94.081084096418962</v>
      </c>
      <c r="E400" s="221">
        <f t="shared" si="24"/>
        <v>94.081084096418962</v>
      </c>
      <c r="F400" s="188" t="str">
        <f t="shared" si="25"/>
        <v/>
      </c>
      <c r="G400" t="str">
        <f t="shared" si="26"/>
        <v/>
      </c>
      <c r="H400" s="188" t="str">
        <f>IF(DAY(B400)=15,IF(MONTH(B400)=1,"E",IF(MONTH(B400)=2,"F",IF(MONTH(B400)=3,"M",IF(MONTH(B400)=4,"A",IF(MONTH(B400)=5,"M",IF(MONTH(B400)=6,"J",IF(MONTH(B400)=7,"J",IF(MONTH(B400)=8,"A",IF(MONTH(B400)=9,"S",IF(MONTH(B400)=10,"O",IF(MONTH(B400)=11,"N",IF(MONTH(B400)=12,"D","")))))))))))),"")</f>
        <v>M</v>
      </c>
      <c r="I400" s="189">
        <f>IF(DAY(B400)=15,D400,"")</f>
        <v>94.081084096418962</v>
      </c>
    </row>
    <row r="401" spans="1:9">
      <c r="A401" s="187">
        <v>349</v>
      </c>
      <c r="B401" s="222">
        <v>45793</v>
      </c>
      <c r="C401" s="221">
        <v>146.52962114230962</v>
      </c>
      <c r="D401" s="221">
        <v>94.081084096418962</v>
      </c>
      <c r="E401" s="221">
        <f t="shared" si="24"/>
        <v>94.081084096418962</v>
      </c>
      <c r="F401" s="188" t="str">
        <f t="shared" si="25"/>
        <v/>
      </c>
      <c r="G401" t="str">
        <f t="shared" si="26"/>
        <v/>
      </c>
      <c r="H401" s="188" t="str">
        <f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/>
      </c>
      <c r="I401" s="189"/>
    </row>
    <row r="402" spans="1:9">
      <c r="A402" s="187">
        <v>350</v>
      </c>
      <c r="B402" s="222">
        <v>45794</v>
      </c>
      <c r="C402" s="221">
        <v>148.86468384230778</v>
      </c>
      <c r="D402" s="221">
        <v>94.081084096418962</v>
      </c>
      <c r="E402" s="221">
        <f t="shared" si="24"/>
        <v>94.081084096418962</v>
      </c>
      <c r="F402" s="188" t="str">
        <f t="shared" si="25"/>
        <v/>
      </c>
      <c r="G402" t="str">
        <f t="shared" si="26"/>
        <v/>
      </c>
      <c r="H402" s="188" t="str">
        <f>IF(DAY(B402)=15,IF(MONTH(B402)=1,"E",IF(MONTH(B402)=2,"F",IF(MONTH(B402)=3,"M",IF(MONTH(B402)=4,"A",IF(MONTH(B402)=5,"M",IF(MONTH(B402)=6,"J",IF(MONTH(B402)=7,"J",IF(MONTH(B402)=8,"A",IF(MONTH(B402)=9,"S",IF(MONTH(B402)=10,"O",IF(MONTH(B402)=11,"N",IF(MONTH(B402)=12,"D","")))))))))))),"")</f>
        <v/>
      </c>
      <c r="I402" s="189"/>
    </row>
    <row r="403" spans="1:9">
      <c r="A403" s="187">
        <v>351</v>
      </c>
      <c r="B403" s="222">
        <v>45795</v>
      </c>
      <c r="C403" s="221">
        <v>134.23938535830595</v>
      </c>
      <c r="D403" s="221">
        <v>94.081084096418962</v>
      </c>
      <c r="E403" s="221">
        <f t="shared" si="24"/>
        <v>94.081084096418962</v>
      </c>
      <c r="F403" s="188" t="str">
        <f t="shared" si="25"/>
        <v/>
      </c>
      <c r="G403" t="str">
        <f t="shared" si="26"/>
        <v/>
      </c>
      <c r="H403" s="188" t="str">
        <f>IF(DAY(B403)=15,IF(MONTH(B403)=1,"E",IF(MONTH(B403)=2,"F",IF(MONTH(B403)=3,"M",IF(MONTH(B403)=4,"A",IF(MONTH(B403)=5,"M",IF(MONTH(B403)=6,"J",IF(MONTH(B403)=7,"J",IF(MONTH(B403)=8,"A",IF(MONTH(B403)=9,"S",IF(MONTH(B403)=10,"O",IF(MONTH(B403)=11,"N",IF(MONTH(B403)=12,"D","")))))))))))),"")</f>
        <v/>
      </c>
      <c r="I403" s="189"/>
    </row>
    <row r="404" spans="1:9">
      <c r="A404" s="187">
        <v>352</v>
      </c>
      <c r="B404" s="222">
        <v>45796</v>
      </c>
      <c r="C404" s="221">
        <v>141.02483698630778</v>
      </c>
      <c r="D404" s="221">
        <v>94.081084096418962</v>
      </c>
      <c r="E404" s="221">
        <f t="shared" si="24"/>
        <v>94.081084096418962</v>
      </c>
      <c r="F404" s="188" t="str">
        <f t="shared" si="25"/>
        <v/>
      </c>
      <c r="G404" t="str">
        <f t="shared" si="26"/>
        <v/>
      </c>
      <c r="H404" s="188" t="str">
        <f t="shared" si="27"/>
        <v/>
      </c>
      <c r="I404" s="189"/>
    </row>
    <row r="405" spans="1:9">
      <c r="A405" s="187">
        <v>353</v>
      </c>
      <c r="B405" s="222">
        <v>45797</v>
      </c>
      <c r="C405" s="221">
        <v>136.91390033430963</v>
      </c>
      <c r="D405" s="221">
        <v>94.081084096418962</v>
      </c>
      <c r="E405" s="221">
        <f t="shared" si="24"/>
        <v>94.081084096418962</v>
      </c>
      <c r="F405" s="188" t="str">
        <f t="shared" si="25"/>
        <v/>
      </c>
      <c r="G405" t="str">
        <f t="shared" si="26"/>
        <v/>
      </c>
      <c r="H405" s="188" t="str">
        <f t="shared" si="27"/>
        <v/>
      </c>
      <c r="I405" s="189"/>
    </row>
    <row r="406" spans="1:9">
      <c r="A406" s="187">
        <v>354</v>
      </c>
      <c r="B406" s="222">
        <v>45798</v>
      </c>
      <c r="C406" s="221">
        <v>138.83898796202365</v>
      </c>
      <c r="D406" s="221">
        <v>94.081084096418962</v>
      </c>
      <c r="E406" s="221">
        <f t="shared" si="24"/>
        <v>94.081084096418962</v>
      </c>
      <c r="F406" s="188" t="str">
        <f t="shared" si="25"/>
        <v/>
      </c>
      <c r="G406" t="str">
        <f t="shared" si="26"/>
        <v/>
      </c>
      <c r="H406" s="188" t="str">
        <f t="shared" si="27"/>
        <v/>
      </c>
      <c r="I406" s="189"/>
    </row>
    <row r="407" spans="1:9">
      <c r="A407" s="187">
        <v>355</v>
      </c>
      <c r="B407" s="222">
        <v>45799</v>
      </c>
      <c r="C407" s="221">
        <v>125.25768110602178</v>
      </c>
      <c r="D407" s="221">
        <v>94.081084096418962</v>
      </c>
      <c r="E407" s="221">
        <f t="shared" si="24"/>
        <v>94.081084096418962</v>
      </c>
      <c r="F407" s="188" t="str">
        <f t="shared" si="25"/>
        <v/>
      </c>
      <c r="G407" t="str">
        <f t="shared" si="26"/>
        <v/>
      </c>
      <c r="H407" s="188" t="str">
        <f t="shared" si="27"/>
        <v/>
      </c>
      <c r="I407" s="189"/>
    </row>
    <row r="408" spans="1:9">
      <c r="A408" s="187">
        <v>356</v>
      </c>
      <c r="B408" s="222">
        <v>45800</v>
      </c>
      <c r="C408" s="221">
        <v>115.27432162602364</v>
      </c>
      <c r="D408" s="221">
        <v>94.081084096418962</v>
      </c>
      <c r="E408" s="221">
        <f t="shared" si="24"/>
        <v>94.081084096418962</v>
      </c>
      <c r="F408" s="188" t="str">
        <f t="shared" si="25"/>
        <v/>
      </c>
      <c r="G408" t="str">
        <f t="shared" si="26"/>
        <v/>
      </c>
      <c r="H408" s="188" t="str">
        <f t="shared" si="27"/>
        <v/>
      </c>
      <c r="I408" s="189"/>
    </row>
    <row r="409" spans="1:9">
      <c r="A409" s="187">
        <v>357</v>
      </c>
      <c r="B409" s="222">
        <v>45801</v>
      </c>
      <c r="C409" s="221">
        <v>102.51996697402549</v>
      </c>
      <c r="D409" s="221">
        <v>94.081084096418962</v>
      </c>
      <c r="E409" s="221">
        <f t="shared" si="24"/>
        <v>94.081084096418962</v>
      </c>
      <c r="F409" s="188" t="str">
        <f t="shared" si="25"/>
        <v/>
      </c>
      <c r="G409" t="str">
        <f t="shared" si="26"/>
        <v/>
      </c>
      <c r="H409" s="188" t="str">
        <f t="shared" si="27"/>
        <v/>
      </c>
      <c r="I409" s="189"/>
    </row>
    <row r="410" spans="1:9">
      <c r="A410" s="187">
        <v>358</v>
      </c>
      <c r="B410" s="222">
        <v>45802</v>
      </c>
      <c r="C410" s="221">
        <v>89.845397242023637</v>
      </c>
      <c r="D410" s="221">
        <v>94.081084096418962</v>
      </c>
      <c r="E410" s="221">
        <f t="shared" si="24"/>
        <v>89.845397242023637</v>
      </c>
      <c r="F410" s="188" t="str">
        <f t="shared" si="25"/>
        <v/>
      </c>
      <c r="G410" t="str">
        <f t="shared" si="26"/>
        <v/>
      </c>
      <c r="H410" s="188" t="str">
        <f t="shared" si="27"/>
        <v/>
      </c>
      <c r="I410" s="189"/>
    </row>
    <row r="411" spans="1:9">
      <c r="A411" s="187">
        <v>359</v>
      </c>
      <c r="B411" s="222">
        <v>45803</v>
      </c>
      <c r="C411" s="221">
        <v>113.67867576602363</v>
      </c>
      <c r="D411" s="221">
        <v>94.081084096418962</v>
      </c>
      <c r="E411" s="221">
        <f t="shared" si="24"/>
        <v>94.081084096418962</v>
      </c>
      <c r="F411" s="188" t="str">
        <f t="shared" si="25"/>
        <v/>
      </c>
      <c r="G411" t="str">
        <f t="shared" si="26"/>
        <v/>
      </c>
      <c r="H411" s="188" t="str">
        <f t="shared" si="27"/>
        <v/>
      </c>
      <c r="I411" s="189"/>
    </row>
    <row r="412" spans="1:9">
      <c r="A412" s="187">
        <v>360</v>
      </c>
      <c r="B412" s="222">
        <v>45804</v>
      </c>
      <c r="C412" s="221">
        <v>108.40071203402363</v>
      </c>
      <c r="D412" s="221">
        <v>94.081084096418962</v>
      </c>
      <c r="E412" s="221">
        <f t="shared" si="24"/>
        <v>94.081084096418962</v>
      </c>
      <c r="F412" s="188" t="str">
        <f t="shared" si="25"/>
        <v/>
      </c>
      <c r="G412" t="str">
        <f t="shared" si="26"/>
        <v/>
      </c>
      <c r="H412" s="188" t="str">
        <f t="shared" si="27"/>
        <v/>
      </c>
      <c r="I412" s="189"/>
    </row>
    <row r="413" spans="1:9">
      <c r="A413" s="187">
        <v>361</v>
      </c>
      <c r="B413" s="222">
        <v>45805</v>
      </c>
      <c r="C413" s="221">
        <v>85.485480380966536</v>
      </c>
      <c r="D413" s="221">
        <v>94.081084096418962</v>
      </c>
      <c r="E413" s="221">
        <f t="shared" si="24"/>
        <v>85.485480380966536</v>
      </c>
      <c r="F413" s="188" t="str">
        <f t="shared" si="25"/>
        <v/>
      </c>
      <c r="G413" t="str">
        <f t="shared" si="26"/>
        <v/>
      </c>
      <c r="H413" s="188" t="str">
        <f t="shared" si="27"/>
        <v/>
      </c>
      <c r="I413" s="189"/>
    </row>
    <row r="414" spans="1:9">
      <c r="A414" s="187">
        <v>362</v>
      </c>
      <c r="B414" s="222">
        <v>45806</v>
      </c>
      <c r="C414" s="221">
        <v>83.162198856966526</v>
      </c>
      <c r="D414" s="221">
        <v>94.081084096418962</v>
      </c>
      <c r="E414" s="221">
        <f t="shared" si="24"/>
        <v>83.162198856966526</v>
      </c>
      <c r="F414" s="188" t="str">
        <f t="shared" si="25"/>
        <v/>
      </c>
      <c r="G414" t="str">
        <f t="shared" si="26"/>
        <v/>
      </c>
      <c r="H414" s="188" t="str">
        <f t="shared" si="27"/>
        <v/>
      </c>
      <c r="I414" s="189"/>
    </row>
    <row r="415" spans="1:9">
      <c r="A415" s="187">
        <v>363</v>
      </c>
      <c r="B415" s="222">
        <v>45807</v>
      </c>
      <c r="C415" s="221">
        <v>81.449369692968389</v>
      </c>
      <c r="D415" s="221">
        <v>94.081084096418962</v>
      </c>
      <c r="E415" s="221">
        <f t="shared" si="24"/>
        <v>81.449369692968389</v>
      </c>
      <c r="F415" s="188" t="str">
        <f t="shared" si="25"/>
        <v/>
      </c>
      <c r="G415" t="str">
        <f t="shared" si="26"/>
        <v/>
      </c>
      <c r="H415" s="188" t="str">
        <f t="shared" si="27"/>
        <v/>
      </c>
      <c r="I415" s="189"/>
    </row>
    <row r="416" spans="1:9">
      <c r="A416" s="187">
        <v>364</v>
      </c>
      <c r="B416" s="222">
        <v>45808</v>
      </c>
      <c r="C416" s="221">
        <v>67.543307356966523</v>
      </c>
      <c r="D416" s="221">
        <v>94.081084096418962</v>
      </c>
      <c r="E416" s="221">
        <f t="shared" si="24"/>
        <v>67.543307356966523</v>
      </c>
      <c r="F416" s="188" t="str">
        <f t="shared" si="25"/>
        <v/>
      </c>
      <c r="G416" t="str">
        <f t="shared" si="26"/>
        <v/>
      </c>
      <c r="H416" s="188" t="str">
        <f t="shared" si="27"/>
        <v/>
      </c>
      <c r="I416" s="189"/>
    </row>
    <row r="417" spans="1:9">
      <c r="A417" s="187">
        <v>365</v>
      </c>
      <c r="B417" s="222">
        <v>45809</v>
      </c>
      <c r="C417" s="221">
        <v>58.584965992964676</v>
      </c>
      <c r="D417" s="221">
        <v>61.406867513274626</v>
      </c>
      <c r="E417" s="221">
        <f t="shared" si="24"/>
        <v>58.584965992964676</v>
      </c>
      <c r="F417" s="188">
        <f t="shared" si="25"/>
        <v>600</v>
      </c>
      <c r="G417" t="str">
        <f t="shared" si="26"/>
        <v/>
      </c>
      <c r="H417" s="188" t="str">
        <f t="shared" si="27"/>
        <v/>
      </c>
      <c r="I417" s="189"/>
    </row>
    <row r="418" spans="1:9">
      <c r="A418" s="187">
        <v>366</v>
      </c>
      <c r="B418" s="222">
        <v>45810</v>
      </c>
      <c r="C418" s="221">
        <v>68.591305628966523</v>
      </c>
      <c r="D418" s="221">
        <v>61.406867513274626</v>
      </c>
      <c r="E418" s="221">
        <f t="shared" si="24"/>
        <v>61.406867513274626</v>
      </c>
      <c r="F418" s="188" t="str">
        <f t="shared" si="25"/>
        <v/>
      </c>
      <c r="G418" t="str">
        <f t="shared" si="26"/>
        <v/>
      </c>
      <c r="H418" s="188" t="str">
        <f t="shared" si="27"/>
        <v/>
      </c>
      <c r="I418" s="189"/>
    </row>
    <row r="419" spans="1:9">
      <c r="A419" s="187">
        <v>367</v>
      </c>
      <c r="B419" s="222">
        <v>45811</v>
      </c>
      <c r="C419" s="221">
        <v>77.948868616968397</v>
      </c>
      <c r="D419" s="221">
        <v>61.406867513274626</v>
      </c>
      <c r="E419" s="221">
        <f t="shared" si="24"/>
        <v>61.406867513274626</v>
      </c>
      <c r="F419" s="188" t="str">
        <f t="shared" si="25"/>
        <v/>
      </c>
      <c r="G419" t="str">
        <f t="shared" si="26"/>
        <v/>
      </c>
      <c r="H419" s="188" t="str">
        <f t="shared" si="27"/>
        <v/>
      </c>
      <c r="I419" s="189"/>
    </row>
    <row r="420" spans="1:9">
      <c r="A420" s="187">
        <v>368</v>
      </c>
      <c r="B420" s="222">
        <v>45812</v>
      </c>
      <c r="C420" s="221">
        <v>81.663379388919736</v>
      </c>
      <c r="D420" s="221">
        <v>61.406867513274626</v>
      </c>
      <c r="E420" s="221">
        <f t="shared" si="24"/>
        <v>61.406867513274626</v>
      </c>
      <c r="F420" s="188" t="str">
        <f t="shared" si="25"/>
        <v/>
      </c>
      <c r="G420" t="str">
        <f t="shared" si="26"/>
        <v/>
      </c>
      <c r="H420" s="188" t="str">
        <f t="shared" si="27"/>
        <v/>
      </c>
      <c r="I420" s="189"/>
    </row>
    <row r="421" spans="1:9">
      <c r="A421" s="187">
        <v>369</v>
      </c>
      <c r="B421" s="222">
        <v>45813</v>
      </c>
      <c r="C421" s="221">
        <v>71.515156384919734</v>
      </c>
      <c r="D421" s="221">
        <v>61.406867513274626</v>
      </c>
      <c r="E421" s="221">
        <f t="shared" si="24"/>
        <v>61.406867513274626</v>
      </c>
      <c r="F421" s="188" t="str">
        <f t="shared" si="25"/>
        <v/>
      </c>
      <c r="G421" t="str">
        <f t="shared" si="26"/>
        <v/>
      </c>
      <c r="H421" s="188" t="str">
        <f t="shared" si="27"/>
        <v/>
      </c>
      <c r="I421" s="189"/>
    </row>
    <row r="422" spans="1:9">
      <c r="A422" s="187">
        <v>370</v>
      </c>
      <c r="B422" s="222">
        <v>45814</v>
      </c>
      <c r="C422" s="221">
        <v>77.416969172919735</v>
      </c>
      <c r="D422" s="221">
        <v>61.406867513274626</v>
      </c>
      <c r="E422" s="221">
        <f t="shared" si="24"/>
        <v>61.406867513274626</v>
      </c>
      <c r="F422" s="188" t="str">
        <f t="shared" si="25"/>
        <v/>
      </c>
      <c r="G422" t="str">
        <f t="shared" si="26"/>
        <v/>
      </c>
      <c r="H422" s="188" t="str">
        <f t="shared" si="27"/>
        <v/>
      </c>
      <c r="I422" s="189"/>
    </row>
    <row r="423" spans="1:9">
      <c r="A423" s="187">
        <v>371</v>
      </c>
      <c r="B423" s="222">
        <v>45815</v>
      </c>
      <c r="C423" s="221">
        <v>59.671351156917879</v>
      </c>
      <c r="D423" s="221">
        <v>61.406867513274626</v>
      </c>
      <c r="E423" s="221">
        <f t="shared" si="24"/>
        <v>59.671351156917879</v>
      </c>
      <c r="F423" s="188" t="str">
        <f t="shared" si="25"/>
        <v/>
      </c>
      <c r="G423" t="str">
        <f t="shared" si="26"/>
        <v/>
      </c>
      <c r="H423" s="188" t="str">
        <f t="shared" si="27"/>
        <v/>
      </c>
      <c r="I423" s="189"/>
    </row>
    <row r="424" spans="1:9">
      <c r="A424" s="187">
        <v>372</v>
      </c>
      <c r="B424" s="222">
        <v>45816</v>
      </c>
      <c r="C424" s="221">
        <v>45.392203304921601</v>
      </c>
      <c r="D424" s="221">
        <v>61.406867513274626</v>
      </c>
      <c r="E424" s="221">
        <f t="shared" si="24"/>
        <v>45.392203304921601</v>
      </c>
      <c r="F424" s="188" t="str">
        <f t="shared" si="25"/>
        <v/>
      </c>
      <c r="G424" t="str">
        <f t="shared" si="26"/>
        <v/>
      </c>
      <c r="H424" s="188" t="str">
        <f t="shared" si="27"/>
        <v/>
      </c>
      <c r="I424" s="189"/>
    </row>
    <row r="425" spans="1:9">
      <c r="A425" s="187">
        <v>373</v>
      </c>
      <c r="B425" s="222">
        <v>45817</v>
      </c>
      <c r="C425" s="221">
        <v>71.85252705291974</v>
      </c>
      <c r="D425" s="221">
        <v>61.406867513274626</v>
      </c>
      <c r="E425" s="221">
        <f t="shared" si="24"/>
        <v>61.406867513274626</v>
      </c>
      <c r="F425" s="188" t="str">
        <f t="shared" si="25"/>
        <v/>
      </c>
      <c r="G425" t="str">
        <f t="shared" si="26"/>
        <v/>
      </c>
      <c r="H425" s="188" t="str">
        <f t="shared" si="27"/>
        <v/>
      </c>
      <c r="I425" s="189"/>
    </row>
    <row r="426" spans="1:9">
      <c r="A426" s="187">
        <v>374</v>
      </c>
      <c r="B426" s="222">
        <v>45818</v>
      </c>
      <c r="C426" s="221">
        <v>94.934340192919748</v>
      </c>
      <c r="D426" s="221">
        <v>61.406867513274626</v>
      </c>
      <c r="E426" s="221">
        <f t="shared" si="24"/>
        <v>61.406867513274626</v>
      </c>
      <c r="F426" s="188" t="str">
        <f t="shared" si="25"/>
        <v/>
      </c>
      <c r="G426" t="str">
        <f t="shared" si="26"/>
        <v/>
      </c>
      <c r="H426" s="188" t="str">
        <f t="shared" si="27"/>
        <v/>
      </c>
      <c r="I426" s="189"/>
    </row>
    <row r="427" spans="1:9">
      <c r="A427" s="187">
        <v>375</v>
      </c>
      <c r="B427" s="222">
        <v>45819</v>
      </c>
      <c r="C427" s="221">
        <v>57.290058085395692</v>
      </c>
      <c r="D427" s="221">
        <v>61.406867513274626</v>
      </c>
      <c r="E427" s="221">
        <f t="shared" si="24"/>
        <v>57.290058085395692</v>
      </c>
      <c r="F427" s="188" t="str">
        <f t="shared" si="25"/>
        <v/>
      </c>
      <c r="G427" t="str">
        <f t="shared" si="26"/>
        <v/>
      </c>
      <c r="H427" s="188" t="str">
        <f t="shared" si="27"/>
        <v/>
      </c>
      <c r="I427" s="189"/>
    </row>
    <row r="428" spans="1:9">
      <c r="A428" s="187">
        <v>376</v>
      </c>
      <c r="B428" s="222">
        <v>45820</v>
      </c>
      <c r="C428" s="221">
        <v>55.354960405397549</v>
      </c>
      <c r="D428" s="221">
        <v>61.406867513274626</v>
      </c>
      <c r="E428" s="221">
        <f t="shared" si="24"/>
        <v>55.354960405397549</v>
      </c>
      <c r="F428" s="188" t="str">
        <f t="shared" si="25"/>
        <v/>
      </c>
      <c r="G428" t="str">
        <f t="shared" si="26"/>
        <v/>
      </c>
      <c r="H428" s="188" t="str">
        <f t="shared" si="27"/>
        <v/>
      </c>
      <c r="I428" s="189"/>
    </row>
    <row r="429" spans="1:9">
      <c r="A429" s="187">
        <v>377</v>
      </c>
      <c r="B429" s="222">
        <v>45821</v>
      </c>
      <c r="C429" s="221">
        <v>57.648457809397556</v>
      </c>
      <c r="D429" s="221">
        <v>61.406867513274626</v>
      </c>
      <c r="E429" s="221">
        <f t="shared" si="24"/>
        <v>57.648457809397556</v>
      </c>
      <c r="F429" s="188" t="str">
        <f t="shared" si="25"/>
        <v/>
      </c>
      <c r="G429" t="str">
        <f t="shared" si="26"/>
        <v/>
      </c>
      <c r="H429" s="188" t="str">
        <f t="shared" si="27"/>
        <v/>
      </c>
      <c r="I429" s="189"/>
    </row>
    <row r="430" spans="1:9">
      <c r="A430" s="187">
        <v>378</v>
      </c>
      <c r="B430" s="222">
        <v>45822</v>
      </c>
      <c r="C430" s="221">
        <v>35.976587393397551</v>
      </c>
      <c r="D430" s="221">
        <v>61.406867513274626</v>
      </c>
      <c r="E430" s="221">
        <f t="shared" si="24"/>
        <v>35.976587393397551</v>
      </c>
      <c r="F430" s="188" t="str">
        <f t="shared" si="25"/>
        <v/>
      </c>
      <c r="G430" t="str">
        <f t="shared" si="26"/>
        <v/>
      </c>
      <c r="H430" s="188" t="str">
        <f t="shared" si="27"/>
        <v/>
      </c>
      <c r="I430" s="189"/>
    </row>
    <row r="431" spans="1:9">
      <c r="A431" s="187">
        <v>379</v>
      </c>
      <c r="B431" s="222">
        <v>45823</v>
      </c>
      <c r="C431" s="221">
        <v>27.093917057395686</v>
      </c>
      <c r="D431" s="221">
        <v>61.406867513274626</v>
      </c>
      <c r="E431" s="221">
        <f t="shared" si="24"/>
        <v>27.093917057395686</v>
      </c>
      <c r="F431" s="188" t="str">
        <f t="shared" si="25"/>
        <v/>
      </c>
      <c r="G431" t="str">
        <f t="shared" si="26"/>
        <v/>
      </c>
      <c r="H431" s="188" t="str">
        <f>IF(DAY(B431)=15,IF(MONTH(B431)=1,"E",IF(MONTH(B431)=2,"F",IF(MONTH(B431)=3,"M",IF(MONTH(B431)=4,"A",IF(MONTH(B431)=5,"M",IF(MONTH(B431)=6,"J",IF(MONTH(B431)=7,"J",IF(MONTH(B431)=8,"A",IF(MONTH(B431)=9,"S",IF(MONTH(B431)=10,"O",IF(MONTH(B431)=11,"N",IF(MONTH(B431)=12,"D","")))))))))))),"")</f>
        <v>J</v>
      </c>
      <c r="I431" s="189">
        <f>IF(DAY(B431)=15,D431,"")</f>
        <v>61.406867513274626</v>
      </c>
    </row>
    <row r="432" spans="1:9">
      <c r="A432" s="187">
        <v>380</v>
      </c>
      <c r="B432" s="222">
        <v>45824</v>
      </c>
      <c r="C432" s="221">
        <v>41.648771953399418</v>
      </c>
      <c r="D432" s="221">
        <v>61.406867513274626</v>
      </c>
      <c r="E432" s="221">
        <f t="shared" si="24"/>
        <v>41.648771953399418</v>
      </c>
      <c r="F432" s="188" t="str">
        <f t="shared" si="25"/>
        <v/>
      </c>
      <c r="G432" t="str">
        <f t="shared" si="26"/>
        <v/>
      </c>
      <c r="H432" s="188" t="str">
        <f>IF(DAY(B432)=15,IF(MONTH(B432)=1,"E",IF(MONTH(B432)=2,"F",IF(MONTH(B432)=3,"M",IF(MONTH(B432)=4,"A",IF(MONTH(B432)=5,"M",IF(MONTH(B432)=6,"J",IF(MONTH(B432)=7,"J",IF(MONTH(B432)=8,"A",IF(MONTH(B432)=9,"S",IF(MONTH(B432)=10,"O",IF(MONTH(B432)=11,"N",IF(MONTH(B432)=12,"D","")))))))))))),"")</f>
        <v/>
      </c>
      <c r="I432" s="189"/>
    </row>
    <row r="433" spans="1:9">
      <c r="A433" s="187">
        <v>381</v>
      </c>
      <c r="B433" s="222">
        <v>45825</v>
      </c>
      <c r="C433" s="221">
        <v>66.75141773339756</v>
      </c>
      <c r="D433" s="221">
        <v>61.406867513274626</v>
      </c>
      <c r="E433" s="221">
        <f t="shared" si="24"/>
        <v>61.406867513274626</v>
      </c>
      <c r="F433" s="188" t="str">
        <f t="shared" si="25"/>
        <v/>
      </c>
      <c r="G433" t="str">
        <f t="shared" si="26"/>
        <v/>
      </c>
      <c r="H433" s="188" t="str">
        <f t="shared" si="27"/>
        <v/>
      </c>
      <c r="I433" s="189"/>
    </row>
    <row r="434" spans="1:9">
      <c r="A434" s="187">
        <v>382</v>
      </c>
      <c r="B434" s="222">
        <v>45826</v>
      </c>
      <c r="C434" s="221">
        <v>54.810603226402399</v>
      </c>
      <c r="D434" s="221">
        <v>61.406867513274626</v>
      </c>
      <c r="E434" s="221">
        <f t="shared" si="24"/>
        <v>54.810603226402399</v>
      </c>
      <c r="F434" s="188" t="str">
        <f t="shared" si="25"/>
        <v/>
      </c>
      <c r="G434" t="str">
        <f t="shared" si="26"/>
        <v/>
      </c>
      <c r="H434" s="188" t="str">
        <f t="shared" si="27"/>
        <v/>
      </c>
      <c r="I434" s="189"/>
    </row>
    <row r="435" spans="1:9">
      <c r="A435" s="187">
        <v>383</v>
      </c>
      <c r="B435" s="222">
        <v>45827</v>
      </c>
      <c r="C435" s="221">
        <v>56.724506154402391</v>
      </c>
      <c r="D435" s="221">
        <v>61.406867513274626</v>
      </c>
      <c r="E435" s="221">
        <f t="shared" si="24"/>
        <v>56.724506154402391</v>
      </c>
      <c r="F435" s="188" t="str">
        <f t="shared" si="25"/>
        <v/>
      </c>
      <c r="G435" t="str">
        <f t="shared" si="26"/>
        <v/>
      </c>
      <c r="H435" s="188" t="str">
        <f t="shared" si="27"/>
        <v/>
      </c>
      <c r="I435" s="189"/>
    </row>
    <row r="436" spans="1:9">
      <c r="A436" s="187">
        <v>384</v>
      </c>
      <c r="B436" s="222">
        <v>45828</v>
      </c>
      <c r="C436" s="221">
        <v>50.758680274402401</v>
      </c>
      <c r="D436" s="221">
        <v>61.406867513274626</v>
      </c>
      <c r="E436" s="221">
        <f t="shared" ref="E436:E499" si="28">IF(C436&lt;D436,C436,D436)</f>
        <v>50.758680274402401</v>
      </c>
      <c r="F436" s="188" t="str">
        <f t="shared" ref="F436:F499" si="29">IF(DAY(B436)=1,600,"")</f>
        <v/>
      </c>
      <c r="G436" t="str">
        <f t="shared" si="26"/>
        <v/>
      </c>
      <c r="H436" s="188" t="str">
        <f t="shared" si="27"/>
        <v/>
      </c>
      <c r="I436" s="189"/>
    </row>
    <row r="437" spans="1:9">
      <c r="A437" s="187">
        <v>385</v>
      </c>
      <c r="B437" s="222">
        <v>45829</v>
      </c>
      <c r="C437" s="221">
        <v>27.241844526407977</v>
      </c>
      <c r="D437" s="221">
        <v>61.406867513274626</v>
      </c>
      <c r="E437" s="221">
        <f t="shared" si="28"/>
        <v>27.241844526407977</v>
      </c>
      <c r="F437" s="188" t="str">
        <f t="shared" si="29"/>
        <v/>
      </c>
      <c r="G437" t="str">
        <f t="shared" si="26"/>
        <v/>
      </c>
      <c r="H437" s="188" t="str">
        <f t="shared" si="27"/>
        <v/>
      </c>
      <c r="I437" s="189"/>
    </row>
    <row r="438" spans="1:9">
      <c r="A438" s="187">
        <v>386</v>
      </c>
      <c r="B438" s="222">
        <v>45830</v>
      </c>
      <c r="C438" s="221">
        <v>15.417510526402395</v>
      </c>
      <c r="D438" s="221">
        <v>61.406867513274626</v>
      </c>
      <c r="E438" s="221">
        <f t="shared" si="28"/>
        <v>15.417510526402395</v>
      </c>
      <c r="F438" s="188" t="str">
        <f t="shared" si="29"/>
        <v/>
      </c>
      <c r="G438" t="str">
        <f t="shared" ref="G438:G501" si="30">IF(MONTH(B438)=1,IF(DAY(B438)=1,YEAR(B438),""),"")</f>
        <v/>
      </c>
      <c r="H438" s="188" t="str">
        <f t="shared" si="27"/>
        <v/>
      </c>
      <c r="I438" s="189"/>
    </row>
    <row r="439" spans="1:9">
      <c r="A439" s="187">
        <v>387</v>
      </c>
      <c r="B439" s="222">
        <v>45831</v>
      </c>
      <c r="C439" s="221">
        <v>33.067196998404263</v>
      </c>
      <c r="D439" s="221">
        <v>61.406867513274626</v>
      </c>
      <c r="E439" s="221">
        <f t="shared" si="28"/>
        <v>33.067196998404263</v>
      </c>
      <c r="F439" s="188" t="str">
        <f t="shared" si="29"/>
        <v/>
      </c>
      <c r="G439" t="str">
        <f t="shared" si="30"/>
        <v/>
      </c>
      <c r="H439" s="188" t="str">
        <f t="shared" si="27"/>
        <v/>
      </c>
      <c r="I439" s="189"/>
    </row>
    <row r="440" spans="1:9">
      <c r="A440" s="187">
        <v>388</v>
      </c>
      <c r="B440" s="222">
        <v>45832</v>
      </c>
      <c r="C440" s="221">
        <v>31.891179734404258</v>
      </c>
      <c r="D440" s="221">
        <v>61.406867513274626</v>
      </c>
      <c r="E440" s="221">
        <f t="shared" si="28"/>
        <v>31.891179734404258</v>
      </c>
      <c r="F440" s="188" t="str">
        <f t="shared" si="29"/>
        <v/>
      </c>
      <c r="G440" t="str">
        <f t="shared" si="30"/>
        <v/>
      </c>
      <c r="H440" s="188" t="str">
        <f t="shared" si="27"/>
        <v/>
      </c>
      <c r="I440" s="189"/>
    </row>
    <row r="441" spans="1:9">
      <c r="A441" s="187">
        <v>389</v>
      </c>
      <c r="B441" s="222">
        <v>45833</v>
      </c>
      <c r="C441" s="221">
        <v>36.028818452584453</v>
      </c>
      <c r="D441" s="221">
        <v>61.406867513274626</v>
      </c>
      <c r="E441" s="221">
        <f t="shared" si="28"/>
        <v>36.028818452584453</v>
      </c>
      <c r="F441" s="188" t="str">
        <f t="shared" si="29"/>
        <v/>
      </c>
      <c r="G441" t="str">
        <f t="shared" si="30"/>
        <v/>
      </c>
      <c r="H441" s="188" t="str">
        <f t="shared" si="27"/>
        <v/>
      </c>
      <c r="I441" s="189"/>
    </row>
    <row r="442" spans="1:9">
      <c r="A442" s="187">
        <v>390</v>
      </c>
      <c r="B442" s="222">
        <v>45834</v>
      </c>
      <c r="C442" s="221">
        <v>34.198682324582592</v>
      </c>
      <c r="D442" s="221">
        <v>61.406867513274626</v>
      </c>
      <c r="E442" s="221">
        <f t="shared" si="28"/>
        <v>34.198682324582592</v>
      </c>
      <c r="F442" s="188" t="str">
        <f t="shared" si="29"/>
        <v/>
      </c>
      <c r="G442" t="str">
        <f t="shared" si="30"/>
        <v/>
      </c>
      <c r="H442" s="188" t="str">
        <f t="shared" si="27"/>
        <v/>
      </c>
      <c r="I442" s="189"/>
    </row>
    <row r="443" spans="1:9">
      <c r="A443" s="187">
        <v>391</v>
      </c>
      <c r="B443" s="222">
        <v>45835</v>
      </c>
      <c r="C443" s="221">
        <v>46.57227909658446</v>
      </c>
      <c r="D443" s="221">
        <v>61.406867513274626</v>
      </c>
      <c r="E443" s="221">
        <f t="shared" si="28"/>
        <v>46.57227909658446</v>
      </c>
      <c r="F443" s="188" t="str">
        <f t="shared" si="29"/>
        <v/>
      </c>
      <c r="G443" t="str">
        <f t="shared" si="30"/>
        <v/>
      </c>
      <c r="H443" s="188" t="str">
        <f t="shared" si="27"/>
        <v/>
      </c>
      <c r="I443" s="189"/>
    </row>
    <row r="444" spans="1:9">
      <c r="A444" s="187">
        <v>392</v>
      </c>
      <c r="B444" s="222">
        <v>45836</v>
      </c>
      <c r="C444" s="221">
        <v>25.679008728584463</v>
      </c>
      <c r="D444" s="221">
        <v>61.406867513274626</v>
      </c>
      <c r="E444" s="221">
        <f t="shared" si="28"/>
        <v>25.679008728584463</v>
      </c>
      <c r="F444" s="188" t="str">
        <f t="shared" si="29"/>
        <v/>
      </c>
      <c r="G444" t="str">
        <f t="shared" si="30"/>
        <v/>
      </c>
      <c r="H444" s="188" t="str">
        <f t="shared" si="27"/>
        <v/>
      </c>
      <c r="I444" s="189"/>
    </row>
    <row r="445" spans="1:9">
      <c r="A445" s="187">
        <v>393</v>
      </c>
      <c r="B445" s="222">
        <v>45837</v>
      </c>
      <c r="C445" s="221">
        <v>21.31743945258259</v>
      </c>
      <c r="D445" s="221">
        <v>61.406867513274626</v>
      </c>
      <c r="E445" s="221">
        <f t="shared" si="28"/>
        <v>21.31743945258259</v>
      </c>
      <c r="F445" s="188" t="str">
        <f t="shared" si="29"/>
        <v/>
      </c>
      <c r="G445" t="str">
        <f t="shared" si="30"/>
        <v/>
      </c>
      <c r="H445" s="188" t="str">
        <f t="shared" si="27"/>
        <v/>
      </c>
      <c r="I445" s="189"/>
    </row>
    <row r="446" spans="1:9">
      <c r="A446" s="187">
        <v>394</v>
      </c>
      <c r="B446" s="222">
        <v>45838</v>
      </c>
      <c r="C446" s="221">
        <v>52.807168008584455</v>
      </c>
      <c r="D446" s="221">
        <v>61.406867513274626</v>
      </c>
      <c r="E446" s="221">
        <f t="shared" si="28"/>
        <v>52.807168008584455</v>
      </c>
      <c r="F446" s="188" t="str">
        <f t="shared" si="29"/>
        <v/>
      </c>
      <c r="G446" t="str">
        <f t="shared" si="30"/>
        <v/>
      </c>
      <c r="H446" s="188" t="str">
        <f t="shared" si="27"/>
        <v/>
      </c>
      <c r="I446" s="189"/>
    </row>
    <row r="447" spans="1:9">
      <c r="A447" s="187">
        <v>395</v>
      </c>
      <c r="B447" s="222">
        <v>45839</v>
      </c>
      <c r="C447" s="221">
        <v>32.594394492584456</v>
      </c>
      <c r="D447" s="221">
        <v>25.377234765527756</v>
      </c>
      <c r="E447" s="221">
        <f t="shared" si="28"/>
        <v>25.377234765527756</v>
      </c>
      <c r="F447" s="188">
        <f t="shared" si="29"/>
        <v>600</v>
      </c>
      <c r="G447" t="str">
        <f t="shared" si="30"/>
        <v/>
      </c>
      <c r="H447" s="188" t="str">
        <f t="shared" si="27"/>
        <v/>
      </c>
      <c r="I447" s="189"/>
    </row>
    <row r="448" spans="1:9">
      <c r="A448" s="187">
        <v>396</v>
      </c>
      <c r="B448" s="222">
        <v>45840</v>
      </c>
      <c r="C448" s="221">
        <v>33.795347920549148</v>
      </c>
      <c r="D448" s="221">
        <v>25.377234765527756</v>
      </c>
      <c r="E448" s="221">
        <f t="shared" si="28"/>
        <v>25.377234765527756</v>
      </c>
      <c r="F448" s="188" t="str">
        <f t="shared" si="29"/>
        <v/>
      </c>
      <c r="G448" t="str">
        <f t="shared" si="30"/>
        <v/>
      </c>
      <c r="H448" s="188" t="str">
        <f t="shared" si="27"/>
        <v/>
      </c>
      <c r="I448" s="189"/>
    </row>
    <row r="449" spans="1:9">
      <c r="A449" s="187">
        <v>397</v>
      </c>
      <c r="B449" s="222">
        <v>45841</v>
      </c>
      <c r="C449" s="221">
        <v>29.662597448547285</v>
      </c>
      <c r="D449" s="221">
        <v>25.377234765527756</v>
      </c>
      <c r="E449" s="221">
        <f t="shared" si="28"/>
        <v>25.377234765527756</v>
      </c>
      <c r="F449" s="188" t="str">
        <f t="shared" si="29"/>
        <v/>
      </c>
      <c r="G449" t="str">
        <f t="shared" si="30"/>
        <v/>
      </c>
      <c r="H449" s="188" t="str">
        <f t="shared" si="27"/>
        <v/>
      </c>
      <c r="I449" s="189"/>
    </row>
    <row r="450" spans="1:9">
      <c r="A450" s="187">
        <v>398</v>
      </c>
      <c r="B450" s="222">
        <v>45842</v>
      </c>
      <c r="C450" s="221">
        <v>27.616604840551009</v>
      </c>
      <c r="D450" s="221">
        <v>25.377234765527756</v>
      </c>
      <c r="E450" s="221">
        <f t="shared" si="28"/>
        <v>25.377234765527756</v>
      </c>
      <c r="F450" s="188" t="str">
        <f t="shared" si="29"/>
        <v/>
      </c>
      <c r="G450" t="str">
        <f t="shared" si="30"/>
        <v/>
      </c>
      <c r="H450" s="188" t="str">
        <f t="shared" si="27"/>
        <v/>
      </c>
      <c r="I450" s="189"/>
    </row>
    <row r="451" spans="1:9">
      <c r="A451" s="187">
        <v>399</v>
      </c>
      <c r="B451" s="222">
        <v>45843</v>
      </c>
      <c r="C451" s="221">
        <v>13.132768220543548</v>
      </c>
      <c r="D451" s="221">
        <v>25.377234765527756</v>
      </c>
      <c r="E451" s="221">
        <f t="shared" si="28"/>
        <v>13.132768220543548</v>
      </c>
      <c r="F451" s="188" t="str">
        <f t="shared" si="29"/>
        <v/>
      </c>
      <c r="G451" t="str">
        <f t="shared" si="30"/>
        <v/>
      </c>
      <c r="H451" s="188" t="str">
        <f t="shared" ref="H451:H514" si="31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I451" s="189"/>
    </row>
    <row r="452" spans="1:9">
      <c r="A452" s="187">
        <v>400</v>
      </c>
      <c r="B452" s="222">
        <v>45844</v>
      </c>
      <c r="C452" s="221">
        <v>0.74587613655099994</v>
      </c>
      <c r="D452" s="221">
        <v>25.377234765527756</v>
      </c>
      <c r="E452" s="221">
        <f t="shared" si="28"/>
        <v>0.74587613655099994</v>
      </c>
      <c r="F452" s="188" t="str">
        <f t="shared" si="29"/>
        <v/>
      </c>
      <c r="G452" t="str">
        <f t="shared" si="30"/>
        <v/>
      </c>
      <c r="H452" s="188" t="str">
        <f t="shared" si="31"/>
        <v/>
      </c>
      <c r="I452" s="189"/>
    </row>
    <row r="453" spans="1:9">
      <c r="A453" s="187">
        <v>401</v>
      </c>
      <c r="B453" s="222">
        <v>45845</v>
      </c>
      <c r="C453" s="221">
        <v>0.87838982854913772</v>
      </c>
      <c r="D453" s="221">
        <v>25.377234765527756</v>
      </c>
      <c r="E453" s="221">
        <f t="shared" si="28"/>
        <v>0.87838982854913772</v>
      </c>
      <c r="F453" s="188" t="str">
        <f t="shared" si="29"/>
        <v/>
      </c>
      <c r="G453" t="str">
        <f t="shared" si="30"/>
        <v/>
      </c>
      <c r="H453" s="188" t="str">
        <f t="shared" si="31"/>
        <v/>
      </c>
      <c r="I453" s="189"/>
    </row>
    <row r="454" spans="1:9">
      <c r="A454" s="187">
        <v>402</v>
      </c>
      <c r="B454" s="222">
        <v>45846</v>
      </c>
      <c r="C454" s="221">
        <v>1.2669650485472739</v>
      </c>
      <c r="D454" s="221">
        <v>25.377234765527756</v>
      </c>
      <c r="E454" s="221">
        <f t="shared" si="28"/>
        <v>1.2669650485472739</v>
      </c>
      <c r="F454" s="188" t="str">
        <f t="shared" si="29"/>
        <v/>
      </c>
      <c r="G454" t="str">
        <f t="shared" si="30"/>
        <v/>
      </c>
      <c r="H454" s="188" t="str">
        <f t="shared" si="31"/>
        <v/>
      </c>
      <c r="I454" s="189"/>
    </row>
    <row r="455" spans="1:9">
      <c r="A455" s="187">
        <v>403</v>
      </c>
      <c r="B455" s="222">
        <v>45847</v>
      </c>
      <c r="C455" s="221">
        <v>12.98326255205537</v>
      </c>
      <c r="D455" s="221">
        <v>25.377234765527756</v>
      </c>
      <c r="E455" s="221">
        <f t="shared" si="28"/>
        <v>12.98326255205537</v>
      </c>
      <c r="F455" s="188" t="str">
        <f t="shared" si="29"/>
        <v/>
      </c>
      <c r="G455" t="str">
        <f t="shared" si="30"/>
        <v/>
      </c>
      <c r="H455" s="188" t="str">
        <f t="shared" si="31"/>
        <v/>
      </c>
      <c r="I455" s="189"/>
    </row>
    <row r="456" spans="1:9">
      <c r="A456" s="187">
        <v>404</v>
      </c>
      <c r="B456" s="222">
        <v>45848</v>
      </c>
      <c r="C456" s="221">
        <v>33.065893648055365</v>
      </c>
      <c r="D456" s="221">
        <v>25.377234765527756</v>
      </c>
      <c r="E456" s="221">
        <f t="shared" si="28"/>
        <v>25.377234765527756</v>
      </c>
      <c r="F456" s="188" t="str">
        <f t="shared" si="29"/>
        <v/>
      </c>
      <c r="G456" t="str">
        <f t="shared" si="30"/>
        <v/>
      </c>
      <c r="H456" s="188" t="str">
        <f t="shared" si="31"/>
        <v/>
      </c>
      <c r="I456" s="189"/>
    </row>
    <row r="457" spans="1:9">
      <c r="A457" s="187">
        <v>405</v>
      </c>
      <c r="B457" s="222">
        <v>45849</v>
      </c>
      <c r="C457" s="221">
        <v>27.461339548053513</v>
      </c>
      <c r="D457" s="221">
        <v>25.377234765527756</v>
      </c>
      <c r="E457" s="221">
        <f t="shared" si="28"/>
        <v>25.377234765527756</v>
      </c>
      <c r="F457" s="188" t="str">
        <f t="shared" si="29"/>
        <v/>
      </c>
      <c r="G457" t="str">
        <f t="shared" si="30"/>
        <v/>
      </c>
      <c r="H457" s="188" t="str">
        <f t="shared" si="31"/>
        <v/>
      </c>
      <c r="I457" s="189"/>
    </row>
    <row r="458" spans="1:9">
      <c r="A458" s="187">
        <v>406</v>
      </c>
      <c r="B458" s="222">
        <v>45850</v>
      </c>
      <c r="C458" s="221">
        <v>19.045507852053504</v>
      </c>
      <c r="D458" s="221">
        <v>25.377234765527756</v>
      </c>
      <c r="E458" s="221">
        <f t="shared" si="28"/>
        <v>19.045507852053504</v>
      </c>
      <c r="F458" s="188" t="str">
        <f t="shared" si="29"/>
        <v/>
      </c>
      <c r="G458" t="str">
        <f t="shared" si="30"/>
        <v/>
      </c>
      <c r="H458" s="188" t="str">
        <f t="shared" si="31"/>
        <v/>
      </c>
      <c r="I458" s="189"/>
    </row>
    <row r="459" spans="1:9">
      <c r="A459" s="187">
        <v>407</v>
      </c>
      <c r="B459" s="222">
        <v>45851</v>
      </c>
      <c r="C459" s="221">
        <v>5.264734244057232</v>
      </c>
      <c r="D459" s="221">
        <v>25.377234765527756</v>
      </c>
      <c r="E459" s="221">
        <f t="shared" si="28"/>
        <v>5.264734244057232</v>
      </c>
      <c r="F459" s="188" t="str">
        <f t="shared" si="29"/>
        <v/>
      </c>
      <c r="G459" t="str">
        <f t="shared" si="30"/>
        <v/>
      </c>
      <c r="H459" s="188" t="str">
        <f t="shared" si="31"/>
        <v/>
      </c>
      <c r="I459" s="189"/>
    </row>
    <row r="460" spans="1:9">
      <c r="A460" s="187">
        <v>408</v>
      </c>
      <c r="B460" s="222">
        <v>45852</v>
      </c>
      <c r="C460" s="221">
        <v>14.93768034805351</v>
      </c>
      <c r="D460" s="221">
        <v>25.377234765527756</v>
      </c>
      <c r="E460" s="221">
        <f t="shared" si="28"/>
        <v>14.93768034805351</v>
      </c>
      <c r="F460" s="188" t="str">
        <f t="shared" si="29"/>
        <v/>
      </c>
      <c r="G460" t="str">
        <f t="shared" si="30"/>
        <v/>
      </c>
      <c r="H460" s="188" t="str">
        <f>IF(DAY(B460)=15,IF(MONTH(B460)=1,"E",IF(MONTH(B460)=2,"F",IF(MONTH(B460)=3,"M",IF(MONTH(B460)=4,"A",IF(MONTH(B460)=5,"M",IF(MONTH(B460)=6,"J",IF(MONTH(B460)=7,"J",IF(MONTH(B460)=8,"A",IF(MONTH(B460)=9,"S",IF(MONTH(B460)=10,"O",IF(MONTH(B460)=11,"N",IF(MONTH(B460)=12,"D","")))))))))))),"")</f>
        <v/>
      </c>
      <c r="I460" s="189"/>
    </row>
    <row r="461" spans="1:9">
      <c r="A461" s="187">
        <v>409</v>
      </c>
      <c r="B461" s="222">
        <v>45853</v>
      </c>
      <c r="C461" s="221">
        <v>15.42803286805351</v>
      </c>
      <c r="D461" s="221">
        <v>25.377234765527756</v>
      </c>
      <c r="E461" s="221">
        <f t="shared" si="28"/>
        <v>15.42803286805351</v>
      </c>
      <c r="F461" s="188" t="str">
        <f t="shared" si="29"/>
        <v/>
      </c>
      <c r="G461" t="str">
        <f t="shared" si="30"/>
        <v/>
      </c>
      <c r="H461" s="188" t="str">
        <f>IF(DAY(B461)=15,IF(MONTH(B461)=1,"E",IF(MONTH(B461)=2,"F",IF(MONTH(B461)=3,"M",IF(MONTH(B461)=4,"A",IF(MONTH(B461)=5,"M",IF(MONTH(B461)=6,"J",IF(MONTH(B461)=7,"J",IF(MONTH(B461)=8,"A",IF(MONTH(B461)=9,"S",IF(MONTH(B461)=10,"O",IF(MONTH(B461)=11,"N",IF(MONTH(B461)=12,"D","")))))))))))),"")</f>
        <v>J</v>
      </c>
      <c r="I461" s="189">
        <f>IF(DAY(B461)=15,D461,"")</f>
        <v>25.377234765527756</v>
      </c>
    </row>
    <row r="462" spans="1:9">
      <c r="A462" s="187">
        <v>410</v>
      </c>
      <c r="B462" s="222">
        <v>45854</v>
      </c>
      <c r="C462" s="221">
        <v>21.208092095159067</v>
      </c>
      <c r="D462" s="221">
        <v>25.377234765527756</v>
      </c>
      <c r="E462" s="221">
        <f t="shared" si="28"/>
        <v>21.208092095159067</v>
      </c>
      <c r="F462" s="188" t="str">
        <f t="shared" si="29"/>
        <v/>
      </c>
      <c r="G462" t="str">
        <f t="shared" si="30"/>
        <v/>
      </c>
      <c r="H462" s="188" t="str">
        <f>IF(DAY(B462)=15,IF(MONTH(B462)=1,"E",IF(MONTH(B462)=2,"F",IF(MONTH(B462)=3,"M",IF(MONTH(B462)=4,"A",IF(MONTH(B462)=5,"M",IF(MONTH(B462)=6,"J",IF(MONTH(B462)=7,"J",IF(MONTH(B462)=8,"A",IF(MONTH(B462)=9,"S",IF(MONTH(B462)=10,"O",IF(MONTH(B462)=11,"N",IF(MONTH(B462)=12,"D","")))))))))))),"")</f>
        <v/>
      </c>
      <c r="I462" s="189"/>
    </row>
    <row r="463" spans="1:9" s="189" customFormat="1">
      <c r="A463" s="187">
        <v>411</v>
      </c>
      <c r="B463" s="222">
        <v>45855</v>
      </c>
      <c r="C463" s="221">
        <v>18.507020759159058</v>
      </c>
      <c r="D463" s="221">
        <v>25.377234765527756</v>
      </c>
      <c r="E463" s="221">
        <f t="shared" si="28"/>
        <v>18.507020759159058</v>
      </c>
      <c r="F463" s="188" t="str">
        <f t="shared" si="29"/>
        <v/>
      </c>
      <c r="G463" t="str">
        <f t="shared" si="30"/>
        <v/>
      </c>
      <c r="H463" s="188" t="str">
        <f>IF(DAY(B463)=15,IF(MONTH(B463)=1,"E",IF(MONTH(B463)=2,"F",IF(MONTH(B463)=3,"M",IF(MONTH(B463)=4,"A",IF(MONTH(B463)=5,"M",IF(MONTH(B463)=6,"J",IF(MONTH(B463)=7,"J",IF(MONTH(B463)=8,"A",IF(MONTH(B463)=9,"S",IF(MONTH(B463)=10,"O",IF(MONTH(B463)=11,"N",IF(MONTH(B463)=12,"D","")))))))))))),"")</f>
        <v/>
      </c>
    </row>
    <row r="464" spans="1:9" s="189" customFormat="1">
      <c r="A464" s="187">
        <v>412</v>
      </c>
      <c r="B464" s="222">
        <v>45856</v>
      </c>
      <c r="C464" s="221">
        <v>24.003231111160929</v>
      </c>
      <c r="D464" s="221">
        <v>25.377234765527756</v>
      </c>
      <c r="E464" s="221">
        <f t="shared" si="28"/>
        <v>24.003231111160929</v>
      </c>
      <c r="F464" s="188" t="str">
        <f t="shared" si="29"/>
        <v/>
      </c>
      <c r="G464" t="str">
        <f t="shared" si="30"/>
        <v/>
      </c>
      <c r="H464" s="188" t="str">
        <f t="shared" si="31"/>
        <v/>
      </c>
    </row>
    <row r="465" spans="1:9" s="189" customFormat="1">
      <c r="A465" s="187">
        <v>413</v>
      </c>
      <c r="B465" s="222">
        <v>45857</v>
      </c>
      <c r="C465" s="221">
        <v>1.3460224671609249</v>
      </c>
      <c r="D465" s="221">
        <v>25.377234765527756</v>
      </c>
      <c r="E465" s="221">
        <f t="shared" si="28"/>
        <v>1.3460224671609249</v>
      </c>
      <c r="F465" s="188" t="str">
        <f t="shared" si="29"/>
        <v/>
      </c>
      <c r="G465" t="str">
        <f t="shared" si="30"/>
        <v/>
      </c>
      <c r="H465" s="188" t="str">
        <f t="shared" si="31"/>
        <v/>
      </c>
    </row>
    <row r="466" spans="1:9" s="189" customFormat="1">
      <c r="A466" s="187">
        <v>414</v>
      </c>
      <c r="B466" s="222">
        <v>45858</v>
      </c>
      <c r="C466" s="221">
        <v>1.3005218071572018</v>
      </c>
      <c r="D466" s="221">
        <v>25.377234765527756</v>
      </c>
      <c r="E466" s="221">
        <f t="shared" si="28"/>
        <v>1.3005218071572018</v>
      </c>
      <c r="F466" s="188" t="str">
        <f t="shared" si="29"/>
        <v/>
      </c>
      <c r="G466" t="str">
        <f t="shared" si="30"/>
        <v/>
      </c>
      <c r="H466" s="188" t="str">
        <f t="shared" si="31"/>
        <v/>
      </c>
    </row>
    <row r="467" spans="1:9" s="189" customFormat="1">
      <c r="A467" s="187">
        <v>415</v>
      </c>
      <c r="B467" s="222">
        <v>45859</v>
      </c>
      <c r="C467" s="221">
        <v>8.9830380631609295</v>
      </c>
      <c r="D467" s="221">
        <v>25.377234765527756</v>
      </c>
      <c r="E467" s="221">
        <f t="shared" si="28"/>
        <v>8.9830380631609295</v>
      </c>
      <c r="F467" s="188" t="str">
        <f t="shared" si="29"/>
        <v/>
      </c>
      <c r="G467" t="str">
        <f t="shared" si="30"/>
        <v/>
      </c>
      <c r="H467" s="188" t="str">
        <f t="shared" si="31"/>
        <v/>
      </c>
    </row>
    <row r="468" spans="1:9" s="189" customFormat="1">
      <c r="A468" s="187">
        <v>416</v>
      </c>
      <c r="B468" s="222">
        <v>45860</v>
      </c>
      <c r="C468" s="221">
        <v>21.327931907159066</v>
      </c>
      <c r="D468" s="221">
        <v>25.377234765527756</v>
      </c>
      <c r="E468" s="221">
        <f t="shared" si="28"/>
        <v>21.327931907159066</v>
      </c>
      <c r="F468" s="188" t="str">
        <f t="shared" si="29"/>
        <v/>
      </c>
      <c r="G468" t="str">
        <f t="shared" si="30"/>
        <v/>
      </c>
      <c r="H468" s="188" t="str">
        <f t="shared" si="31"/>
        <v/>
      </c>
    </row>
    <row r="469" spans="1:9" s="189" customFormat="1">
      <c r="A469" s="187">
        <v>417</v>
      </c>
      <c r="B469" s="222">
        <v>45861</v>
      </c>
      <c r="C469" s="221">
        <v>19.698397277743307</v>
      </c>
      <c r="D469" s="221">
        <v>25.377234765527756</v>
      </c>
      <c r="E469" s="221">
        <f t="shared" si="28"/>
        <v>19.698397277743307</v>
      </c>
      <c r="F469" s="188" t="str">
        <f t="shared" si="29"/>
        <v/>
      </c>
      <c r="G469" t="str">
        <f t="shared" si="30"/>
        <v/>
      </c>
      <c r="H469" s="188" t="str">
        <f t="shared" si="31"/>
        <v/>
      </c>
    </row>
    <row r="470" spans="1:9" s="189" customFormat="1">
      <c r="A470" s="187">
        <v>418</v>
      </c>
      <c r="B470" s="222">
        <v>45862</v>
      </c>
      <c r="C470" s="221">
        <v>19.402645057741445</v>
      </c>
      <c r="D470" s="221">
        <v>25.377234765527756</v>
      </c>
      <c r="E470" s="221">
        <f t="shared" si="28"/>
        <v>19.402645057741445</v>
      </c>
      <c r="F470" s="188" t="str">
        <f t="shared" si="29"/>
        <v/>
      </c>
      <c r="G470" t="str">
        <f t="shared" si="30"/>
        <v/>
      </c>
      <c r="H470" s="188" t="str">
        <f t="shared" si="31"/>
        <v/>
      </c>
    </row>
    <row r="471" spans="1:9" s="189" customFormat="1">
      <c r="A471" s="187">
        <v>419</v>
      </c>
      <c r="B471" s="222">
        <v>45863</v>
      </c>
      <c r="C471" s="221">
        <v>1.1036778417451643</v>
      </c>
      <c r="D471" s="221">
        <v>25.377234765527756</v>
      </c>
      <c r="E471" s="221">
        <f t="shared" si="28"/>
        <v>1.1036778417451643</v>
      </c>
      <c r="F471" s="188" t="str">
        <f t="shared" si="29"/>
        <v/>
      </c>
      <c r="G471" t="str">
        <f t="shared" si="30"/>
        <v/>
      </c>
      <c r="H471" s="188" t="str">
        <f t="shared" si="31"/>
        <v/>
      </c>
    </row>
    <row r="472" spans="1:9" s="189" customFormat="1">
      <c r="A472" s="187">
        <v>420</v>
      </c>
      <c r="B472" s="222">
        <v>45864</v>
      </c>
      <c r="C472" s="221">
        <v>0.99300742174330658</v>
      </c>
      <c r="D472" s="221">
        <v>25.377234765527756</v>
      </c>
      <c r="E472" s="221">
        <f t="shared" si="28"/>
        <v>0.99300742174330658</v>
      </c>
      <c r="F472" s="188" t="str">
        <f t="shared" si="29"/>
        <v/>
      </c>
      <c r="G472" t="str">
        <f t="shared" si="30"/>
        <v/>
      </c>
      <c r="H472" s="188" t="str">
        <f t="shared" si="31"/>
        <v/>
      </c>
    </row>
    <row r="473" spans="1:9" s="189" customFormat="1">
      <c r="A473" s="187">
        <v>421</v>
      </c>
      <c r="B473" s="222">
        <v>45865</v>
      </c>
      <c r="C473" s="221">
        <v>0.52868170974330131</v>
      </c>
      <c r="D473" s="221">
        <v>25.377234765527756</v>
      </c>
      <c r="E473" s="221">
        <f t="shared" si="28"/>
        <v>0.52868170974330131</v>
      </c>
      <c r="F473" s="188" t="str">
        <f t="shared" si="29"/>
        <v/>
      </c>
      <c r="G473" t="str">
        <f t="shared" si="30"/>
        <v/>
      </c>
      <c r="H473" s="188" t="str">
        <f t="shared" si="31"/>
        <v/>
      </c>
    </row>
    <row r="474" spans="1:9" s="189" customFormat="1">
      <c r="A474" s="187">
        <v>422</v>
      </c>
      <c r="B474" s="222">
        <v>45866</v>
      </c>
      <c r="C474" s="221">
        <v>0.87120617374702847</v>
      </c>
      <c r="D474" s="221">
        <v>25.377234765527756</v>
      </c>
      <c r="E474" s="221">
        <f t="shared" si="28"/>
        <v>0.87120617374702847</v>
      </c>
      <c r="F474" s="188" t="str">
        <f t="shared" si="29"/>
        <v/>
      </c>
      <c r="G474" t="str">
        <f t="shared" si="30"/>
        <v/>
      </c>
      <c r="H474" s="188" t="str">
        <f t="shared" si="31"/>
        <v/>
      </c>
    </row>
    <row r="475" spans="1:9" s="189" customFormat="1">
      <c r="A475" s="187">
        <v>423</v>
      </c>
      <c r="B475" s="222">
        <v>45867</v>
      </c>
      <c r="C475" s="221">
        <v>1.9895497937414401</v>
      </c>
      <c r="D475" s="221">
        <v>25.377234765527756</v>
      </c>
      <c r="E475" s="221">
        <f t="shared" si="28"/>
        <v>1.9895497937414401</v>
      </c>
      <c r="F475" s="188" t="str">
        <f t="shared" si="29"/>
        <v/>
      </c>
      <c r="G475" t="str">
        <f t="shared" si="30"/>
        <v/>
      </c>
      <c r="H475" s="188" t="str">
        <f t="shared" si="31"/>
        <v/>
      </c>
    </row>
    <row r="476" spans="1:9" s="189" customFormat="1">
      <c r="A476" s="187">
        <v>424</v>
      </c>
      <c r="B476" s="222">
        <v>45868</v>
      </c>
      <c r="C476" s="221">
        <v>13.957132501467727</v>
      </c>
      <c r="D476" s="221">
        <v>25.377234765527756</v>
      </c>
      <c r="E476" s="221">
        <f t="shared" si="28"/>
        <v>13.957132501467727</v>
      </c>
      <c r="F476" s="188" t="str">
        <f t="shared" si="29"/>
        <v/>
      </c>
      <c r="G476" t="str">
        <f t="shared" si="30"/>
        <v/>
      </c>
      <c r="H476" s="188" t="str">
        <f t="shared" si="31"/>
        <v/>
      </c>
    </row>
    <row r="477" spans="1:9" s="189" customFormat="1">
      <c r="A477" s="187">
        <v>425</v>
      </c>
      <c r="B477" s="222">
        <v>45869</v>
      </c>
      <c r="C477" s="221">
        <v>17.234185620462142</v>
      </c>
      <c r="D477" s="221">
        <v>25.377234765527756</v>
      </c>
      <c r="E477" s="221">
        <f t="shared" si="28"/>
        <v>17.234185620462142</v>
      </c>
      <c r="F477" s="188" t="str">
        <f t="shared" si="29"/>
        <v/>
      </c>
      <c r="G477" t="str">
        <f t="shared" si="30"/>
        <v/>
      </c>
      <c r="H477" s="188" t="str">
        <f t="shared" si="31"/>
        <v/>
      </c>
    </row>
    <row r="478" spans="1:9" s="189" customFormat="1">
      <c r="A478" s="187">
        <v>426</v>
      </c>
      <c r="B478" s="222">
        <v>45870</v>
      </c>
      <c r="C478" s="221">
        <v>12.194764484471452</v>
      </c>
      <c r="D478" s="221">
        <v>14.606396891514056</v>
      </c>
      <c r="E478" s="221">
        <f t="shared" si="28"/>
        <v>12.194764484471452</v>
      </c>
      <c r="F478" s="188">
        <f t="shared" si="29"/>
        <v>600</v>
      </c>
      <c r="G478" t="str">
        <f t="shared" si="30"/>
        <v/>
      </c>
      <c r="H478" s="188" t="str">
        <f t="shared" si="31"/>
        <v/>
      </c>
    </row>
    <row r="479" spans="1:9">
      <c r="A479" s="187">
        <v>427</v>
      </c>
      <c r="B479" s="222">
        <v>45871</v>
      </c>
      <c r="C479" s="221">
        <v>1.3938801114658637</v>
      </c>
      <c r="D479" s="221">
        <v>14.606396891514056</v>
      </c>
      <c r="E479" s="221">
        <f t="shared" si="28"/>
        <v>1.3938801114658637</v>
      </c>
      <c r="F479" s="188" t="str">
        <f t="shared" si="29"/>
        <v/>
      </c>
      <c r="G479" t="str">
        <f t="shared" si="30"/>
        <v/>
      </c>
      <c r="H479" s="188" t="str">
        <f t="shared" si="31"/>
        <v/>
      </c>
      <c r="I479" s="189"/>
    </row>
    <row r="480" spans="1:9">
      <c r="A480" s="187">
        <v>428</v>
      </c>
      <c r="B480" s="222">
        <v>45872</v>
      </c>
      <c r="C480" s="221">
        <v>1.4602158054640022</v>
      </c>
      <c r="D480" s="221">
        <v>14.606396891514056</v>
      </c>
      <c r="E480" s="221">
        <f t="shared" si="28"/>
        <v>1.4602158054640022</v>
      </c>
      <c r="F480" s="188" t="str">
        <f t="shared" si="29"/>
        <v/>
      </c>
      <c r="G480" t="str">
        <f t="shared" si="30"/>
        <v/>
      </c>
      <c r="H480" s="188" t="str">
        <f t="shared" si="31"/>
        <v/>
      </c>
      <c r="I480" s="189"/>
    </row>
    <row r="481" spans="1:9">
      <c r="A481" s="187">
        <v>429</v>
      </c>
      <c r="B481" s="222">
        <v>45873</v>
      </c>
      <c r="C481" s="221">
        <v>26.535674111465866</v>
      </c>
      <c r="D481" s="221">
        <v>14.606396891514056</v>
      </c>
      <c r="E481" s="221">
        <f t="shared" si="28"/>
        <v>14.606396891514056</v>
      </c>
      <c r="F481" s="188" t="str">
        <f t="shared" si="29"/>
        <v/>
      </c>
      <c r="G481" t="str">
        <f t="shared" si="30"/>
        <v/>
      </c>
      <c r="H481" s="188" t="str">
        <f t="shared" si="31"/>
        <v/>
      </c>
      <c r="I481" s="189"/>
    </row>
    <row r="482" spans="1:9">
      <c r="A482" s="187">
        <v>430</v>
      </c>
      <c r="B482" s="222">
        <v>45874</v>
      </c>
      <c r="C482" s="221">
        <v>20.91808489246959</v>
      </c>
      <c r="D482" s="221">
        <v>14.606396891514056</v>
      </c>
      <c r="E482" s="221">
        <f t="shared" si="28"/>
        <v>14.606396891514056</v>
      </c>
      <c r="F482" s="188" t="str">
        <f t="shared" si="29"/>
        <v/>
      </c>
      <c r="G482" t="str">
        <f t="shared" si="30"/>
        <v/>
      </c>
      <c r="H482" s="188" t="str">
        <f t="shared" si="31"/>
        <v/>
      </c>
      <c r="I482" s="189"/>
    </row>
    <row r="483" spans="1:9">
      <c r="A483" s="187">
        <v>431</v>
      </c>
      <c r="B483" s="222">
        <v>45875</v>
      </c>
      <c r="C483" s="221">
        <v>13.157603789703018</v>
      </c>
      <c r="D483" s="221">
        <v>14.606396891514056</v>
      </c>
      <c r="E483" s="221">
        <f t="shared" si="28"/>
        <v>13.157603789703018</v>
      </c>
      <c r="F483" s="188" t="str">
        <f t="shared" si="29"/>
        <v/>
      </c>
      <c r="G483" t="str">
        <f t="shared" si="30"/>
        <v/>
      </c>
      <c r="H483" s="188" t="str">
        <f t="shared" si="31"/>
        <v/>
      </c>
      <c r="I483" s="189"/>
    </row>
    <row r="484" spans="1:9">
      <c r="A484" s="187">
        <v>432</v>
      </c>
      <c r="B484" s="222">
        <v>45876</v>
      </c>
      <c r="C484" s="221">
        <v>8.2091536297085987</v>
      </c>
      <c r="D484" s="221">
        <v>14.606396891514056</v>
      </c>
      <c r="E484" s="221">
        <f t="shared" si="28"/>
        <v>8.2091536297085987</v>
      </c>
      <c r="F484" s="188" t="str">
        <f t="shared" si="29"/>
        <v/>
      </c>
      <c r="G484" t="str">
        <f t="shared" si="30"/>
        <v/>
      </c>
      <c r="H484" s="188" t="str">
        <f t="shared" si="31"/>
        <v/>
      </c>
      <c r="I484" s="189"/>
    </row>
    <row r="485" spans="1:9">
      <c r="A485" s="187">
        <v>433</v>
      </c>
      <c r="B485" s="222">
        <v>45877</v>
      </c>
      <c r="C485" s="221">
        <v>14.150909509703022</v>
      </c>
      <c r="D485" s="221">
        <v>14.606396891514056</v>
      </c>
      <c r="E485" s="221">
        <f t="shared" si="28"/>
        <v>14.150909509703022</v>
      </c>
      <c r="F485" s="188" t="str">
        <f t="shared" si="29"/>
        <v/>
      </c>
      <c r="G485" t="str">
        <f t="shared" si="30"/>
        <v/>
      </c>
      <c r="H485" s="188" t="str">
        <f t="shared" si="31"/>
        <v/>
      </c>
      <c r="I485" s="189"/>
    </row>
    <row r="486" spans="1:9">
      <c r="A486" s="187">
        <v>434</v>
      </c>
      <c r="B486" s="222">
        <v>45878</v>
      </c>
      <c r="C486" s="221">
        <v>0.62003202171046723</v>
      </c>
      <c r="D486" s="221">
        <v>14.606396891514056</v>
      </c>
      <c r="E486" s="221">
        <f t="shared" si="28"/>
        <v>0.62003202171046723</v>
      </c>
      <c r="F486" s="188" t="str">
        <f t="shared" si="29"/>
        <v/>
      </c>
      <c r="G486" t="str">
        <f t="shared" si="30"/>
        <v/>
      </c>
      <c r="H486" s="188" t="str">
        <f t="shared" si="31"/>
        <v/>
      </c>
      <c r="I486" s="189"/>
    </row>
    <row r="487" spans="1:9">
      <c r="A487" s="187">
        <v>435</v>
      </c>
      <c r="B487" s="222">
        <v>45879</v>
      </c>
      <c r="C487" s="221">
        <v>0.58029145370487822</v>
      </c>
      <c r="D487" s="221">
        <v>14.606396891514056</v>
      </c>
      <c r="E487" s="221">
        <f t="shared" si="28"/>
        <v>0.58029145370487822</v>
      </c>
      <c r="F487" s="188" t="str">
        <f t="shared" si="29"/>
        <v/>
      </c>
      <c r="G487" t="str">
        <f t="shared" si="30"/>
        <v/>
      </c>
      <c r="H487" s="188" t="str">
        <f t="shared" si="31"/>
        <v/>
      </c>
      <c r="I487" s="189"/>
    </row>
    <row r="488" spans="1:9">
      <c r="A488" s="187">
        <v>436</v>
      </c>
      <c r="B488" s="222">
        <v>45880</v>
      </c>
      <c r="C488" s="221">
        <v>7.944978201703023</v>
      </c>
      <c r="D488" s="221">
        <v>14.606396891514056</v>
      </c>
      <c r="E488" s="221">
        <f t="shared" si="28"/>
        <v>7.944978201703023</v>
      </c>
      <c r="F488" s="188" t="str">
        <f t="shared" si="29"/>
        <v/>
      </c>
      <c r="G488" t="str">
        <f t="shared" si="30"/>
        <v/>
      </c>
      <c r="H488" s="188" t="str">
        <f t="shared" si="31"/>
        <v/>
      </c>
      <c r="I488" s="189"/>
    </row>
    <row r="489" spans="1:9">
      <c r="A489" s="187">
        <v>437</v>
      </c>
      <c r="B489" s="222">
        <v>45881</v>
      </c>
      <c r="C489" s="221">
        <v>9.3381222057085971</v>
      </c>
      <c r="D489" s="221">
        <v>14.606396891514056</v>
      </c>
      <c r="E489" s="221">
        <f t="shared" si="28"/>
        <v>9.3381222057085971</v>
      </c>
      <c r="F489" s="188" t="str">
        <f t="shared" si="29"/>
        <v/>
      </c>
      <c r="G489" t="str">
        <f t="shared" si="30"/>
        <v/>
      </c>
      <c r="H489" s="188" t="str">
        <f t="shared" si="31"/>
        <v/>
      </c>
      <c r="I489" s="189"/>
    </row>
    <row r="490" spans="1:9">
      <c r="A490" s="187">
        <v>438</v>
      </c>
      <c r="B490" s="222">
        <v>45882</v>
      </c>
      <c r="C490" s="221">
        <v>11.9204894591607</v>
      </c>
      <c r="D490" s="221">
        <v>14.606396891514056</v>
      </c>
      <c r="E490" s="221">
        <f t="shared" si="28"/>
        <v>11.9204894591607</v>
      </c>
      <c r="F490" s="188" t="str">
        <f t="shared" si="29"/>
        <v/>
      </c>
      <c r="G490" t="str">
        <f t="shared" si="30"/>
        <v/>
      </c>
      <c r="H490" s="188" t="str">
        <f t="shared" si="31"/>
        <v/>
      </c>
      <c r="I490" s="189"/>
    </row>
    <row r="491" spans="1:9">
      <c r="A491" s="187">
        <v>439</v>
      </c>
      <c r="B491" s="222">
        <v>45883</v>
      </c>
      <c r="C491" s="221">
        <v>4.2943351511588403</v>
      </c>
      <c r="D491" s="221">
        <v>14.606396891514056</v>
      </c>
      <c r="E491" s="221">
        <f t="shared" si="28"/>
        <v>4.2943351511588403</v>
      </c>
      <c r="F491" s="188" t="str">
        <f t="shared" si="29"/>
        <v/>
      </c>
      <c r="G491" t="str">
        <f t="shared" si="30"/>
        <v/>
      </c>
      <c r="H491" s="188" t="str">
        <f t="shared" si="31"/>
        <v/>
      </c>
      <c r="I491" s="189"/>
    </row>
    <row r="492" spans="1:9">
      <c r="A492" s="187">
        <v>440</v>
      </c>
      <c r="B492" s="222">
        <v>45884</v>
      </c>
      <c r="C492" s="221">
        <v>1.2630359191607059</v>
      </c>
      <c r="D492" s="221">
        <v>14.606396891514056</v>
      </c>
      <c r="E492" s="221">
        <f t="shared" si="28"/>
        <v>1.2630359191607059</v>
      </c>
      <c r="F492" s="188" t="str">
        <f t="shared" si="29"/>
        <v/>
      </c>
      <c r="G492" t="str">
        <f t="shared" si="30"/>
        <v/>
      </c>
      <c r="H492" s="188" t="str">
        <f>IF(DAY(B492)=15,IF(MONTH(B492)=1,"E",IF(MONTH(B492)=2,"F",IF(MONTH(B492)=3,"M",IF(MONTH(B492)=4,"A",IF(MONTH(B492)=5,"M",IF(MONTH(B492)=6,"J",IF(MONTH(B492)=7,"J",IF(MONTH(B492)=8,"A",IF(MONTH(B492)=9,"S",IF(MONTH(B492)=10,"O",IF(MONTH(B492)=11,"N",IF(MONTH(B492)=12,"D","")))))))))))),"")</f>
        <v>A</v>
      </c>
      <c r="I492" s="189">
        <f>IF(DAY(B492)=15,D492,"")</f>
        <v>14.606396891514056</v>
      </c>
    </row>
    <row r="493" spans="1:9">
      <c r="A493" s="187">
        <v>441</v>
      </c>
      <c r="B493" s="222">
        <v>45885</v>
      </c>
      <c r="C493" s="221">
        <v>0.5145405361607045</v>
      </c>
      <c r="D493" s="221">
        <v>14.606396891514056</v>
      </c>
      <c r="E493" s="221">
        <f t="shared" si="28"/>
        <v>0.5145405361607045</v>
      </c>
      <c r="F493" s="188" t="str">
        <f t="shared" si="29"/>
        <v/>
      </c>
      <c r="G493" t="str">
        <f t="shared" si="30"/>
        <v/>
      </c>
      <c r="H493" s="188" t="str">
        <f>IF(DAY(B493)=15,IF(MONTH(B493)=1,"E",IF(MONTH(B493)=2,"F",IF(MONTH(B493)=3,"M",IF(MONTH(B493)=4,"A",IF(MONTH(B493)=5,"M",IF(MONTH(B493)=6,"J",IF(MONTH(B493)=7,"J",IF(MONTH(B493)=8,"A",IF(MONTH(B493)=9,"S",IF(MONTH(B493)=10,"O",IF(MONTH(B493)=11,"N",IF(MONTH(B493)=12,"D","")))))))))))),"")</f>
        <v/>
      </c>
      <c r="I493" s="189"/>
    </row>
    <row r="494" spans="1:9">
      <c r="A494" s="187">
        <v>442</v>
      </c>
      <c r="B494" s="222">
        <v>45886</v>
      </c>
      <c r="C494" s="221">
        <v>1.0636899021625723</v>
      </c>
      <c r="D494" s="221">
        <v>14.606396891514056</v>
      </c>
      <c r="E494" s="221">
        <f t="shared" si="28"/>
        <v>1.0636899021625723</v>
      </c>
      <c r="F494" s="188" t="str">
        <f t="shared" si="29"/>
        <v/>
      </c>
      <c r="G494" t="str">
        <f t="shared" si="30"/>
        <v/>
      </c>
      <c r="H494" s="188" t="str">
        <f>IF(DAY(B494)=15,IF(MONTH(B494)=1,"E",IF(MONTH(B494)=2,"F",IF(MONTH(B494)=3,"M",IF(MONTH(B494)=4,"A",IF(MONTH(B494)=5,"M",IF(MONTH(B494)=6,"J",IF(MONTH(B494)=7,"J",IF(MONTH(B494)=8,"A",IF(MONTH(B494)=9,"S",IF(MONTH(B494)=10,"O",IF(MONTH(B494)=11,"N",IF(MONTH(B494)=12,"D","")))))))))))),"")</f>
        <v/>
      </c>
      <c r="I494" s="189"/>
    </row>
    <row r="495" spans="1:9" s="189" customFormat="1">
      <c r="A495" s="187">
        <v>443</v>
      </c>
      <c r="B495" s="222">
        <v>45887</v>
      </c>
      <c r="C495" s="221">
        <v>2.2906401991607126</v>
      </c>
      <c r="D495" s="221">
        <v>14.606396891514056</v>
      </c>
      <c r="E495" s="221">
        <f t="shared" si="28"/>
        <v>2.2906401991607126</v>
      </c>
      <c r="F495" s="188" t="str">
        <f t="shared" si="29"/>
        <v/>
      </c>
      <c r="G495" t="str">
        <f t="shared" si="30"/>
        <v/>
      </c>
      <c r="H495" s="188" t="str">
        <f t="shared" si="31"/>
        <v/>
      </c>
    </row>
    <row r="496" spans="1:9" s="189" customFormat="1">
      <c r="A496" s="187">
        <v>444</v>
      </c>
      <c r="B496" s="222">
        <v>45888</v>
      </c>
      <c r="C496" s="221">
        <v>0.55340952715698222</v>
      </c>
      <c r="D496" s="221">
        <v>14.606396891514056</v>
      </c>
      <c r="E496" s="221">
        <f t="shared" si="28"/>
        <v>0.55340952715698222</v>
      </c>
      <c r="F496" s="188" t="str">
        <f t="shared" si="29"/>
        <v/>
      </c>
      <c r="G496" t="str">
        <f t="shared" si="30"/>
        <v/>
      </c>
      <c r="H496" s="188" t="str">
        <f t="shared" si="31"/>
        <v/>
      </c>
    </row>
    <row r="497" spans="1:9" s="189" customFormat="1">
      <c r="A497" s="187">
        <v>445</v>
      </c>
      <c r="B497" s="222">
        <v>45889</v>
      </c>
      <c r="C497" s="221">
        <v>8.1066654437322221</v>
      </c>
      <c r="D497" s="221">
        <v>14.606396891514056</v>
      </c>
      <c r="E497" s="221">
        <f t="shared" si="28"/>
        <v>8.1066654437322221</v>
      </c>
      <c r="F497" s="188" t="str">
        <f t="shared" si="29"/>
        <v/>
      </c>
      <c r="G497" t="str">
        <f t="shared" si="30"/>
        <v/>
      </c>
      <c r="H497" s="188" t="str">
        <f t="shared" si="31"/>
        <v/>
      </c>
    </row>
    <row r="498" spans="1:9" s="189" customFormat="1">
      <c r="A498" s="187">
        <v>446</v>
      </c>
      <c r="B498" s="222">
        <v>45890</v>
      </c>
      <c r="C498" s="221">
        <v>8.834458943735946</v>
      </c>
      <c r="D498" s="221">
        <v>14.606396891514056</v>
      </c>
      <c r="E498" s="221">
        <f t="shared" si="28"/>
        <v>8.834458943735946</v>
      </c>
      <c r="F498" s="188" t="str">
        <f t="shared" si="29"/>
        <v/>
      </c>
      <c r="G498" t="str">
        <f t="shared" si="30"/>
        <v/>
      </c>
      <c r="H498" s="188" t="str">
        <f t="shared" si="31"/>
        <v/>
      </c>
    </row>
    <row r="499" spans="1:9" s="189" customFormat="1">
      <c r="A499" s="187">
        <v>447</v>
      </c>
      <c r="B499" s="222">
        <v>45891</v>
      </c>
      <c r="C499" s="221">
        <v>10.591494696732218</v>
      </c>
      <c r="D499" s="221">
        <v>14.606396891514056</v>
      </c>
      <c r="E499" s="221">
        <f t="shared" si="28"/>
        <v>10.591494696732218</v>
      </c>
      <c r="F499" s="188" t="str">
        <f t="shared" si="29"/>
        <v/>
      </c>
      <c r="G499" t="str">
        <f t="shared" si="30"/>
        <v/>
      </c>
      <c r="H499" s="188" t="str">
        <f t="shared" si="31"/>
        <v/>
      </c>
    </row>
    <row r="500" spans="1:9" s="189" customFormat="1">
      <c r="A500" s="187">
        <v>448</v>
      </c>
      <c r="B500" s="222">
        <v>45892</v>
      </c>
      <c r="C500" s="221">
        <v>18.622823034732217</v>
      </c>
      <c r="D500" s="221">
        <v>14.606396891514056</v>
      </c>
      <c r="E500" s="221">
        <f t="shared" ref="E500:E563" si="32">IF(C500&lt;D500,C500,D500)</f>
        <v>14.606396891514056</v>
      </c>
      <c r="F500" s="188" t="str">
        <f t="shared" ref="F500:F563" si="33">IF(DAY(B500)=1,600,"")</f>
        <v/>
      </c>
      <c r="G500" t="str">
        <f t="shared" si="30"/>
        <v/>
      </c>
      <c r="H500" s="188" t="str">
        <f t="shared" si="31"/>
        <v/>
      </c>
    </row>
    <row r="501" spans="1:9" s="189" customFormat="1">
      <c r="A501" s="187">
        <v>449</v>
      </c>
      <c r="B501" s="222">
        <v>45893</v>
      </c>
      <c r="C501" s="221">
        <v>13.983708154734085</v>
      </c>
      <c r="D501" s="221">
        <v>14.606396891514056</v>
      </c>
      <c r="E501" s="221">
        <f t="shared" si="32"/>
        <v>13.983708154734085</v>
      </c>
      <c r="F501" s="188" t="str">
        <f t="shared" si="33"/>
        <v/>
      </c>
      <c r="G501" t="str">
        <f t="shared" si="30"/>
        <v/>
      </c>
      <c r="H501" s="188" t="str">
        <f t="shared" si="31"/>
        <v/>
      </c>
    </row>
    <row r="502" spans="1:9" s="189" customFormat="1">
      <c r="A502" s="187">
        <v>450</v>
      </c>
      <c r="B502" s="222">
        <v>45894</v>
      </c>
      <c r="C502" s="221">
        <v>9.0344177397322198</v>
      </c>
      <c r="D502" s="221">
        <v>14.606396891514056</v>
      </c>
      <c r="E502" s="221">
        <f t="shared" si="32"/>
        <v>9.0344177397322198</v>
      </c>
      <c r="F502" s="188" t="str">
        <f t="shared" si="33"/>
        <v/>
      </c>
      <c r="G502" t="str">
        <f t="shared" ref="G502:G565" si="34">IF(MONTH(B502)=1,IF(DAY(B502)=1,YEAR(B502),""),"")</f>
        <v/>
      </c>
      <c r="H502" s="188" t="str">
        <f t="shared" si="31"/>
        <v/>
      </c>
    </row>
    <row r="503" spans="1:9" s="189" customFormat="1">
      <c r="A503" s="187">
        <v>451</v>
      </c>
      <c r="B503" s="222">
        <v>45895</v>
      </c>
      <c r="C503" s="221">
        <v>9.2639256127322156</v>
      </c>
      <c r="D503" s="221">
        <v>14.606396891514056</v>
      </c>
      <c r="E503" s="221">
        <f t="shared" si="32"/>
        <v>9.2639256127322156</v>
      </c>
      <c r="F503" s="188" t="str">
        <f t="shared" si="33"/>
        <v/>
      </c>
      <c r="G503" t="str">
        <f t="shared" si="34"/>
        <v/>
      </c>
      <c r="H503" s="188" t="str">
        <f t="shared" si="31"/>
        <v/>
      </c>
    </row>
    <row r="504" spans="1:9" s="189" customFormat="1">
      <c r="A504" s="187">
        <v>452</v>
      </c>
      <c r="B504" s="222">
        <v>45896</v>
      </c>
      <c r="C504" s="221">
        <v>28.058542062076945</v>
      </c>
      <c r="D504" s="221">
        <v>14.606396891514056</v>
      </c>
      <c r="E504" s="221">
        <f t="shared" si="32"/>
        <v>14.606396891514056</v>
      </c>
      <c r="F504" s="188" t="str">
        <f t="shared" si="33"/>
        <v/>
      </c>
      <c r="G504" t="str">
        <f t="shared" si="34"/>
        <v/>
      </c>
      <c r="H504" s="188" t="str">
        <f t="shared" si="31"/>
        <v/>
      </c>
    </row>
    <row r="505" spans="1:9" s="189" customFormat="1">
      <c r="A505" s="187">
        <v>453</v>
      </c>
      <c r="B505" s="222">
        <v>45897</v>
      </c>
      <c r="C505" s="221">
        <v>2.2423037120769442</v>
      </c>
      <c r="D505" s="221">
        <v>14.606396891514056</v>
      </c>
      <c r="E505" s="221">
        <f t="shared" si="32"/>
        <v>2.2423037120769442</v>
      </c>
      <c r="F505" s="188" t="str">
        <f t="shared" si="33"/>
        <v/>
      </c>
      <c r="G505" t="str">
        <f t="shared" si="34"/>
        <v/>
      </c>
      <c r="H505" s="188" t="str">
        <f t="shared" si="31"/>
        <v/>
      </c>
    </row>
    <row r="506" spans="1:9" s="189" customFormat="1">
      <c r="A506" s="187">
        <v>454</v>
      </c>
      <c r="B506" s="222">
        <v>45898</v>
      </c>
      <c r="C506" s="221">
        <v>2.3390195480750844</v>
      </c>
      <c r="D506" s="221">
        <v>14.606396891514056</v>
      </c>
      <c r="E506" s="221">
        <f t="shared" si="32"/>
        <v>2.3390195480750844</v>
      </c>
      <c r="F506" s="188" t="str">
        <f t="shared" si="33"/>
        <v/>
      </c>
      <c r="G506" t="str">
        <f t="shared" si="34"/>
        <v/>
      </c>
      <c r="H506" s="188" t="str">
        <f t="shared" si="31"/>
        <v/>
      </c>
    </row>
    <row r="507" spans="1:9" s="189" customFormat="1">
      <c r="A507" s="187">
        <v>455</v>
      </c>
      <c r="B507" s="222">
        <v>45899</v>
      </c>
      <c r="C507" s="221">
        <v>4.3992242260732164</v>
      </c>
      <c r="D507" s="221">
        <v>14.606396891514056</v>
      </c>
      <c r="E507" s="221">
        <f t="shared" si="32"/>
        <v>4.3992242260732164</v>
      </c>
      <c r="F507" s="188" t="str">
        <f t="shared" si="33"/>
        <v/>
      </c>
      <c r="G507" t="str">
        <f t="shared" si="34"/>
        <v/>
      </c>
      <c r="H507" s="188" t="str">
        <f t="shared" si="31"/>
        <v/>
      </c>
    </row>
    <row r="508" spans="1:9" s="189" customFormat="1">
      <c r="A508" s="187">
        <v>456</v>
      </c>
      <c r="B508" s="222">
        <v>45900</v>
      </c>
      <c r="C508" s="221">
        <v>6.5272750440769451</v>
      </c>
      <c r="D508" s="221">
        <v>14.606396891514056</v>
      </c>
      <c r="E508" s="221">
        <f t="shared" si="32"/>
        <v>6.5272750440769451</v>
      </c>
      <c r="F508" s="188" t="str">
        <f t="shared" si="33"/>
        <v/>
      </c>
      <c r="G508" t="str">
        <f t="shared" si="34"/>
        <v/>
      </c>
      <c r="H508" s="188" t="str">
        <f t="shared" si="31"/>
        <v/>
      </c>
    </row>
    <row r="509" spans="1:9" s="189" customFormat="1">
      <c r="A509" s="187">
        <v>457</v>
      </c>
      <c r="B509" s="222">
        <v>45901</v>
      </c>
      <c r="C509" s="221">
        <v>1.2817477090750835</v>
      </c>
      <c r="D509" s="221">
        <v>20.096931654918169</v>
      </c>
      <c r="E509" s="221">
        <f t="shared" si="32"/>
        <v>1.2817477090750835</v>
      </c>
      <c r="F509" s="188">
        <f t="shared" si="33"/>
        <v>600</v>
      </c>
      <c r="G509" t="str">
        <f t="shared" si="34"/>
        <v/>
      </c>
      <c r="H509" s="188" t="str">
        <f t="shared" si="31"/>
        <v/>
      </c>
    </row>
    <row r="510" spans="1:9" s="189" customFormat="1">
      <c r="A510" s="187">
        <v>458</v>
      </c>
      <c r="B510" s="222">
        <v>45902</v>
      </c>
      <c r="C510" s="221">
        <v>1.6173166890750799</v>
      </c>
      <c r="D510" s="221">
        <v>20.096931654918169</v>
      </c>
      <c r="E510" s="221">
        <f t="shared" si="32"/>
        <v>1.6173166890750799</v>
      </c>
      <c r="F510" s="188" t="str">
        <f t="shared" si="33"/>
        <v/>
      </c>
      <c r="G510" t="str">
        <f t="shared" si="34"/>
        <v/>
      </c>
      <c r="H510" s="188" t="str">
        <f t="shared" si="31"/>
        <v/>
      </c>
    </row>
    <row r="511" spans="1:9">
      <c r="A511" s="187">
        <v>459</v>
      </c>
      <c r="B511" s="222">
        <v>45903</v>
      </c>
      <c r="C511" s="221">
        <v>2.1154391071034699</v>
      </c>
      <c r="D511" s="221">
        <v>20.096931654918169</v>
      </c>
      <c r="E511" s="221">
        <f t="shared" si="32"/>
        <v>2.1154391071034699</v>
      </c>
      <c r="F511" s="188" t="str">
        <f t="shared" si="33"/>
        <v/>
      </c>
      <c r="G511" t="str">
        <f t="shared" si="34"/>
        <v/>
      </c>
      <c r="H511" s="188" t="str">
        <f t="shared" si="31"/>
        <v/>
      </c>
      <c r="I511" s="189"/>
    </row>
    <row r="512" spans="1:9">
      <c r="A512" s="187">
        <v>460</v>
      </c>
      <c r="B512" s="222">
        <v>45904</v>
      </c>
      <c r="C512" s="221">
        <v>19.321785347101613</v>
      </c>
      <c r="D512" s="221">
        <v>20.096931654918169</v>
      </c>
      <c r="E512" s="221">
        <f t="shared" si="32"/>
        <v>19.321785347101613</v>
      </c>
      <c r="F512" s="188" t="str">
        <f t="shared" si="33"/>
        <v/>
      </c>
      <c r="G512" t="str">
        <f t="shared" si="34"/>
        <v/>
      </c>
      <c r="H512" s="188" t="str">
        <f t="shared" si="31"/>
        <v/>
      </c>
      <c r="I512" s="189"/>
    </row>
    <row r="513" spans="1:9">
      <c r="A513" s="187">
        <v>461</v>
      </c>
      <c r="B513" s="222">
        <v>45905</v>
      </c>
      <c r="C513" s="221">
        <v>24.546131320103473</v>
      </c>
      <c r="D513" s="221">
        <v>20.096931654918169</v>
      </c>
      <c r="E513" s="221">
        <f t="shared" si="32"/>
        <v>20.096931654918169</v>
      </c>
      <c r="F513" s="188" t="str">
        <f t="shared" si="33"/>
        <v/>
      </c>
      <c r="G513" t="str">
        <f t="shared" si="34"/>
        <v/>
      </c>
      <c r="H513" s="188" t="str">
        <f t="shared" si="31"/>
        <v/>
      </c>
      <c r="I513" s="189"/>
    </row>
    <row r="514" spans="1:9">
      <c r="A514" s="187">
        <v>462</v>
      </c>
      <c r="B514" s="222">
        <v>45906</v>
      </c>
      <c r="C514" s="221">
        <v>7.2915253381034706</v>
      </c>
      <c r="D514" s="221">
        <v>20.096931654918169</v>
      </c>
      <c r="E514" s="221">
        <f t="shared" si="32"/>
        <v>7.2915253381034706</v>
      </c>
      <c r="F514" s="188" t="str">
        <f t="shared" si="33"/>
        <v/>
      </c>
      <c r="G514" t="str">
        <f t="shared" si="34"/>
        <v/>
      </c>
      <c r="H514" s="188" t="str">
        <f t="shared" si="31"/>
        <v/>
      </c>
      <c r="I514" s="189"/>
    </row>
    <row r="515" spans="1:9">
      <c r="A515" s="187">
        <v>463</v>
      </c>
      <c r="B515" s="222">
        <v>45907</v>
      </c>
      <c r="C515" s="221">
        <v>14.543756771103471</v>
      </c>
      <c r="D515" s="221">
        <v>20.096931654918169</v>
      </c>
      <c r="E515" s="221">
        <f t="shared" si="32"/>
        <v>14.543756771103471</v>
      </c>
      <c r="F515" s="188" t="str">
        <f t="shared" si="33"/>
        <v/>
      </c>
      <c r="G515" t="str">
        <f t="shared" si="34"/>
        <v/>
      </c>
      <c r="H515" s="188" t="str">
        <f t="shared" ref="H515:H578" si="35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I515" s="189"/>
    </row>
    <row r="516" spans="1:9">
      <c r="A516" s="187">
        <v>464</v>
      </c>
      <c r="B516" s="222">
        <v>45908</v>
      </c>
      <c r="C516" s="221">
        <v>35.211344651101605</v>
      </c>
      <c r="D516" s="221">
        <v>20.096931654918169</v>
      </c>
      <c r="E516" s="221">
        <f t="shared" si="32"/>
        <v>20.096931654918169</v>
      </c>
      <c r="F516" s="188" t="str">
        <f t="shared" si="33"/>
        <v/>
      </c>
      <c r="G516" t="str">
        <f t="shared" si="34"/>
        <v/>
      </c>
      <c r="H516" s="188" t="str">
        <f t="shared" si="35"/>
        <v/>
      </c>
      <c r="I516" s="189"/>
    </row>
    <row r="517" spans="1:9">
      <c r="A517" s="187">
        <v>465</v>
      </c>
      <c r="B517" s="222">
        <v>45909</v>
      </c>
      <c r="C517" s="221">
        <v>31.689608963101609</v>
      </c>
      <c r="D517" s="221">
        <v>20.096931654918169</v>
      </c>
      <c r="E517" s="221">
        <f t="shared" si="32"/>
        <v>20.096931654918169</v>
      </c>
      <c r="F517" s="188" t="str">
        <f t="shared" si="33"/>
        <v/>
      </c>
      <c r="G517" t="str">
        <f t="shared" si="34"/>
        <v/>
      </c>
      <c r="H517" s="188" t="str">
        <f t="shared" si="35"/>
        <v/>
      </c>
      <c r="I517" s="189"/>
    </row>
    <row r="518" spans="1:9">
      <c r="A518" s="187">
        <v>466</v>
      </c>
      <c r="B518" s="222">
        <v>45910</v>
      </c>
      <c r="C518" s="221">
        <v>13.092552855678653</v>
      </c>
      <c r="D518" s="221">
        <v>20.096931654918169</v>
      </c>
      <c r="E518" s="221">
        <f t="shared" si="32"/>
        <v>13.092552855678653</v>
      </c>
      <c r="F518" s="188" t="str">
        <f t="shared" si="33"/>
        <v/>
      </c>
      <c r="G518" t="str">
        <f t="shared" si="34"/>
        <v/>
      </c>
      <c r="H518" s="188" t="str">
        <f t="shared" si="35"/>
        <v/>
      </c>
      <c r="I518" s="189"/>
    </row>
    <row r="519" spans="1:9">
      <c r="A519" s="187">
        <v>467</v>
      </c>
      <c r="B519" s="222">
        <v>45911</v>
      </c>
      <c r="C519" s="221">
        <v>15.365002231673069</v>
      </c>
      <c r="D519" s="221">
        <v>20.096931654918169</v>
      </c>
      <c r="E519" s="221">
        <f t="shared" si="32"/>
        <v>15.365002231673069</v>
      </c>
      <c r="F519" s="188" t="str">
        <f t="shared" si="33"/>
        <v/>
      </c>
      <c r="G519" t="str">
        <f t="shared" si="34"/>
        <v/>
      </c>
      <c r="H519" s="188" t="str">
        <f t="shared" si="35"/>
        <v/>
      </c>
      <c r="I519" s="189"/>
    </row>
    <row r="520" spans="1:9">
      <c r="A520" s="187">
        <v>468</v>
      </c>
      <c r="B520" s="222">
        <v>45912</v>
      </c>
      <c r="C520" s="221">
        <v>34.737672312676793</v>
      </c>
      <c r="D520" s="221">
        <v>20.096931654918169</v>
      </c>
      <c r="E520" s="221">
        <f t="shared" si="32"/>
        <v>20.096931654918169</v>
      </c>
      <c r="F520" s="188" t="str">
        <f t="shared" si="33"/>
        <v/>
      </c>
      <c r="G520" t="str">
        <f t="shared" si="34"/>
        <v/>
      </c>
      <c r="H520" s="188" t="str">
        <f t="shared" si="35"/>
        <v/>
      </c>
      <c r="I520" s="189"/>
    </row>
    <row r="521" spans="1:9">
      <c r="A521" s="187">
        <v>469</v>
      </c>
      <c r="B521" s="222">
        <v>45913</v>
      </c>
      <c r="C521" s="221">
        <v>21.468902958676793</v>
      </c>
      <c r="D521" s="221">
        <v>20.096931654918169</v>
      </c>
      <c r="E521" s="221">
        <f t="shared" si="32"/>
        <v>20.096931654918169</v>
      </c>
      <c r="F521" s="188" t="str">
        <f t="shared" si="33"/>
        <v/>
      </c>
      <c r="G521" t="str">
        <f t="shared" si="34"/>
        <v/>
      </c>
      <c r="H521" s="188" t="str">
        <f>IF(DAY(B521)=15,IF(MONTH(B521)=1,"E",IF(MONTH(B521)=2,"F",IF(MONTH(B521)=3,"M",IF(MONTH(B521)=4,"A",IF(MONTH(B521)=5,"M",IF(MONTH(B521)=6,"J",IF(MONTH(B521)=7,"J",IF(MONTH(B521)=8,"A",IF(MONTH(B521)=9,"S",IF(MONTH(B521)=10,"O",IF(MONTH(B521)=11,"N",IF(MONTH(B521)=12,"D","")))))))))))),"")</f>
        <v/>
      </c>
      <c r="I521" s="189"/>
    </row>
    <row r="522" spans="1:9">
      <c r="A522" s="187">
        <v>470</v>
      </c>
      <c r="B522" s="222">
        <v>45914</v>
      </c>
      <c r="C522" s="221">
        <v>13.576204775674931</v>
      </c>
      <c r="D522" s="221">
        <v>20.096931654918169</v>
      </c>
      <c r="E522" s="221">
        <f t="shared" si="32"/>
        <v>13.576204775674931</v>
      </c>
      <c r="F522" s="188" t="str">
        <f t="shared" si="33"/>
        <v/>
      </c>
      <c r="G522" t="str">
        <f t="shared" si="34"/>
        <v/>
      </c>
      <c r="H522" s="188" t="str">
        <f>IF(DAY(B522)=15,IF(MONTH(B522)=1,"E",IF(MONTH(B522)=2,"F",IF(MONTH(B522)=3,"M",IF(MONTH(B522)=4,"A",IF(MONTH(B522)=5,"M",IF(MONTH(B522)=6,"J",IF(MONTH(B522)=7,"J",IF(MONTH(B522)=8,"A",IF(MONTH(B522)=9,"S",IF(MONTH(B522)=10,"O",IF(MONTH(B522)=11,"N",IF(MONTH(B522)=12,"D","")))))))))))),"")</f>
        <v/>
      </c>
      <c r="I522" s="189"/>
    </row>
    <row r="523" spans="1:9">
      <c r="A523" s="187">
        <v>471</v>
      </c>
      <c r="B523" s="222">
        <v>45915</v>
      </c>
      <c r="C523" s="221">
        <v>18.451686891676793</v>
      </c>
      <c r="D523" s="221">
        <v>20.096931654918169</v>
      </c>
      <c r="E523" s="221">
        <f t="shared" si="32"/>
        <v>18.451686891676793</v>
      </c>
      <c r="F523" s="188" t="str">
        <f t="shared" si="33"/>
        <v/>
      </c>
      <c r="G523" t="str">
        <f t="shared" si="34"/>
        <v/>
      </c>
      <c r="H523" s="188" t="str">
        <f>IF(DAY(B523)=15,IF(MONTH(B523)=1,"E",IF(MONTH(B523)=2,"F",IF(MONTH(B523)=3,"M",IF(MONTH(B523)=4,"A",IF(MONTH(B523)=5,"M",IF(MONTH(B523)=6,"J",IF(MONTH(B523)=7,"J",IF(MONTH(B523)=8,"A",IF(MONTH(B523)=9,"S",IF(MONTH(B523)=10,"O",IF(MONTH(B523)=11,"N",IF(MONTH(B523)=12,"D","")))))))))))),"")</f>
        <v>S</v>
      </c>
      <c r="I523" s="189">
        <f>IF(DAY(B523)=15,D523,"")</f>
        <v>20.096931654918169</v>
      </c>
    </row>
    <row r="524" spans="1:9">
      <c r="A524" s="187">
        <v>472</v>
      </c>
      <c r="B524" s="222">
        <v>45916</v>
      </c>
      <c r="C524" s="221">
        <v>19.344326808674932</v>
      </c>
      <c r="D524" s="221">
        <v>20.096931654918169</v>
      </c>
      <c r="E524" s="221">
        <f t="shared" si="32"/>
        <v>19.344326808674932</v>
      </c>
      <c r="F524" s="188" t="str">
        <f t="shared" si="33"/>
        <v/>
      </c>
      <c r="G524" t="str">
        <f t="shared" si="34"/>
        <v/>
      </c>
      <c r="H524" s="188" t="str">
        <f>IF(DAY(B524)=15,IF(MONTH(B524)=1,"E",IF(MONTH(B524)=2,"F",IF(MONTH(B524)=3,"M",IF(MONTH(B524)=4,"A",IF(MONTH(B524)=5,"M",IF(MONTH(B524)=6,"J",IF(MONTH(B524)=7,"J",IF(MONTH(B524)=8,"A",IF(MONTH(B524)=9,"S",IF(MONTH(B524)=10,"O",IF(MONTH(B524)=11,"N",IF(MONTH(B524)=12,"D","")))))))))))),"")</f>
        <v/>
      </c>
      <c r="I524" s="189"/>
    </row>
    <row r="525" spans="1:9">
      <c r="A525" s="187">
        <v>473</v>
      </c>
      <c r="B525" s="222">
        <v>45917</v>
      </c>
      <c r="C525" s="221">
        <v>14.745610182199655</v>
      </c>
      <c r="D525" s="221">
        <v>20.096931654918169</v>
      </c>
      <c r="E525" s="221">
        <f t="shared" si="32"/>
        <v>14.745610182199655</v>
      </c>
      <c r="F525" s="188" t="str">
        <f t="shared" si="33"/>
        <v/>
      </c>
      <c r="G525" t="str">
        <f t="shared" si="34"/>
        <v/>
      </c>
      <c r="H525" s="188" t="str">
        <f t="shared" si="35"/>
        <v/>
      </c>
      <c r="I525" s="189"/>
    </row>
    <row r="526" spans="1:9">
      <c r="A526" s="187">
        <v>474</v>
      </c>
      <c r="B526" s="222">
        <v>45918</v>
      </c>
      <c r="C526" s="221">
        <v>10.083807815199659</v>
      </c>
      <c r="D526" s="221">
        <v>20.096931654918169</v>
      </c>
      <c r="E526" s="221">
        <f t="shared" si="32"/>
        <v>10.083807815199659</v>
      </c>
      <c r="F526" s="188" t="str">
        <f t="shared" si="33"/>
        <v/>
      </c>
      <c r="G526" t="str">
        <f t="shared" si="34"/>
        <v/>
      </c>
      <c r="H526" s="188" t="str">
        <f t="shared" si="35"/>
        <v/>
      </c>
      <c r="I526" s="189"/>
    </row>
    <row r="527" spans="1:9" s="189" customFormat="1">
      <c r="A527" s="187">
        <v>475</v>
      </c>
      <c r="B527" s="222">
        <v>45919</v>
      </c>
      <c r="C527" s="221">
        <v>6.9708534591977953</v>
      </c>
      <c r="D527" s="221">
        <v>20.096931654918169</v>
      </c>
      <c r="E527" s="221">
        <f t="shared" si="32"/>
        <v>6.9708534591977953</v>
      </c>
      <c r="F527" s="188" t="str">
        <f t="shared" si="33"/>
        <v/>
      </c>
      <c r="G527" t="str">
        <f t="shared" si="34"/>
        <v/>
      </c>
      <c r="H527" s="188" t="str">
        <f t="shared" si="35"/>
        <v/>
      </c>
    </row>
    <row r="528" spans="1:9" s="189" customFormat="1">
      <c r="A528" s="187">
        <v>476</v>
      </c>
      <c r="B528" s="222">
        <v>45920</v>
      </c>
      <c r="C528" s="221">
        <v>7.4601010751977954</v>
      </c>
      <c r="D528" s="221">
        <v>20.096931654918169</v>
      </c>
      <c r="E528" s="221">
        <f t="shared" si="32"/>
        <v>7.4601010751977954</v>
      </c>
      <c r="F528" s="188" t="str">
        <f t="shared" si="33"/>
        <v/>
      </c>
      <c r="G528" t="str">
        <f t="shared" si="34"/>
        <v/>
      </c>
      <c r="H528" s="188" t="str">
        <f t="shared" si="35"/>
        <v/>
      </c>
    </row>
    <row r="529" spans="1:9" s="189" customFormat="1">
      <c r="A529" s="187">
        <v>477</v>
      </c>
      <c r="B529" s="222">
        <v>45921</v>
      </c>
      <c r="C529" s="221">
        <v>0.88863244720152212</v>
      </c>
      <c r="D529" s="221">
        <v>20.096931654918169</v>
      </c>
      <c r="E529" s="221">
        <f t="shared" si="32"/>
        <v>0.88863244720152212</v>
      </c>
      <c r="F529" s="188" t="str">
        <f t="shared" si="33"/>
        <v/>
      </c>
      <c r="G529" t="str">
        <f t="shared" si="34"/>
        <v/>
      </c>
      <c r="H529" s="188" t="str">
        <f t="shared" si="35"/>
        <v/>
      </c>
    </row>
    <row r="530" spans="1:9" s="189" customFormat="1">
      <c r="A530" s="187">
        <v>478</v>
      </c>
      <c r="B530" s="222">
        <v>45922</v>
      </c>
      <c r="C530" s="221">
        <v>0.95296703919779979</v>
      </c>
      <c r="D530" s="221">
        <v>20.096931654918169</v>
      </c>
      <c r="E530" s="221">
        <f t="shared" si="32"/>
        <v>0.95296703919779979</v>
      </c>
      <c r="F530" s="188" t="str">
        <f t="shared" si="33"/>
        <v/>
      </c>
      <c r="G530" t="str">
        <f t="shared" si="34"/>
        <v/>
      </c>
      <c r="H530" s="188" t="str">
        <f t="shared" si="35"/>
        <v/>
      </c>
    </row>
    <row r="531" spans="1:9" s="189" customFormat="1">
      <c r="A531" s="187">
        <v>479</v>
      </c>
      <c r="B531" s="222">
        <v>45923</v>
      </c>
      <c r="C531" s="221">
        <v>1.107356255201521</v>
      </c>
      <c r="D531" s="221">
        <v>20.096931654918169</v>
      </c>
      <c r="E531" s="221">
        <f t="shared" si="32"/>
        <v>1.107356255201521</v>
      </c>
      <c r="F531" s="188" t="str">
        <f t="shared" si="33"/>
        <v/>
      </c>
      <c r="G531" t="str">
        <f t="shared" si="34"/>
        <v/>
      </c>
      <c r="H531" s="188" t="str">
        <f t="shared" si="35"/>
        <v/>
      </c>
    </row>
    <row r="532" spans="1:9" s="189" customFormat="1">
      <c r="A532" s="187">
        <v>480</v>
      </c>
      <c r="B532" s="222">
        <v>45924</v>
      </c>
      <c r="C532" s="221">
        <v>12.261610709065398</v>
      </c>
      <c r="D532" s="221">
        <v>20.096931654918169</v>
      </c>
      <c r="E532" s="221">
        <f t="shared" si="32"/>
        <v>12.261610709065398</v>
      </c>
      <c r="F532" s="188" t="str">
        <f t="shared" si="33"/>
        <v/>
      </c>
      <c r="G532" t="str">
        <f t="shared" si="34"/>
        <v/>
      </c>
      <c r="H532" s="188" t="str">
        <f t="shared" si="35"/>
        <v/>
      </c>
    </row>
    <row r="533" spans="1:9" s="189" customFormat="1">
      <c r="A533" s="187">
        <v>481</v>
      </c>
      <c r="B533" s="222">
        <v>45925</v>
      </c>
      <c r="C533" s="221">
        <v>30.101534229065393</v>
      </c>
      <c r="D533" s="221">
        <v>20.096931654918169</v>
      </c>
      <c r="E533" s="221">
        <f t="shared" si="32"/>
        <v>20.096931654918169</v>
      </c>
      <c r="F533" s="188" t="str">
        <f t="shared" si="33"/>
        <v/>
      </c>
      <c r="G533" t="str">
        <f t="shared" si="34"/>
        <v/>
      </c>
      <c r="H533" s="188" t="str">
        <f t="shared" si="35"/>
        <v/>
      </c>
    </row>
    <row r="534" spans="1:9" s="189" customFormat="1">
      <c r="A534" s="187">
        <v>482</v>
      </c>
      <c r="B534" s="222">
        <v>45926</v>
      </c>
      <c r="C534" s="221">
        <v>37.891293065067266</v>
      </c>
      <c r="D534" s="221">
        <v>20.096931654918169</v>
      </c>
      <c r="E534" s="221">
        <f t="shared" si="32"/>
        <v>20.096931654918169</v>
      </c>
      <c r="F534" s="188" t="str">
        <f t="shared" si="33"/>
        <v/>
      </c>
      <c r="G534" t="str">
        <f t="shared" si="34"/>
        <v/>
      </c>
      <c r="H534" s="188" t="str">
        <f t="shared" si="35"/>
        <v/>
      </c>
    </row>
    <row r="535" spans="1:9" s="189" customFormat="1">
      <c r="A535" s="187">
        <v>483</v>
      </c>
      <c r="B535" s="222">
        <v>45927</v>
      </c>
      <c r="C535" s="221">
        <v>26.846282717067261</v>
      </c>
      <c r="D535" s="221">
        <v>20.096931654918169</v>
      </c>
      <c r="E535" s="221">
        <f t="shared" si="32"/>
        <v>20.096931654918169</v>
      </c>
      <c r="F535" s="188" t="str">
        <f t="shared" si="33"/>
        <v/>
      </c>
      <c r="G535" t="str">
        <f t="shared" si="34"/>
        <v/>
      </c>
      <c r="H535" s="188" t="str">
        <f t="shared" si="35"/>
        <v/>
      </c>
    </row>
    <row r="536" spans="1:9" s="189" customFormat="1">
      <c r="A536" s="187">
        <v>484</v>
      </c>
      <c r="B536" s="222">
        <v>45928</v>
      </c>
      <c r="C536" s="221">
        <v>6.0124908290653982</v>
      </c>
      <c r="D536" s="221">
        <v>20.096931654918169</v>
      </c>
      <c r="E536" s="221">
        <f t="shared" si="32"/>
        <v>6.0124908290653982</v>
      </c>
      <c r="F536" s="188" t="str">
        <f t="shared" si="33"/>
        <v/>
      </c>
      <c r="G536" t="str">
        <f t="shared" si="34"/>
        <v/>
      </c>
      <c r="H536" s="188" t="str">
        <f t="shared" si="35"/>
        <v/>
      </c>
    </row>
    <row r="537" spans="1:9" s="189" customFormat="1">
      <c r="A537" s="187">
        <v>485</v>
      </c>
      <c r="B537" s="222">
        <v>45929</v>
      </c>
      <c r="C537" s="221">
        <v>18.017315821067257</v>
      </c>
      <c r="D537" s="221">
        <v>20.096931654918169</v>
      </c>
      <c r="E537" s="221">
        <f t="shared" si="32"/>
        <v>18.017315821067257</v>
      </c>
      <c r="F537" s="188" t="str">
        <f t="shared" si="33"/>
        <v/>
      </c>
      <c r="G537" t="str">
        <f t="shared" si="34"/>
        <v/>
      </c>
      <c r="H537" s="188" t="str">
        <f t="shared" si="35"/>
        <v/>
      </c>
    </row>
    <row r="538" spans="1:9" s="189" customFormat="1">
      <c r="A538" s="187">
        <v>486</v>
      </c>
      <c r="B538" s="222">
        <v>45930</v>
      </c>
      <c r="C538" s="221">
        <v>31.070505041067257</v>
      </c>
      <c r="D538" s="221">
        <v>20.096931654918169</v>
      </c>
      <c r="E538" s="221">
        <f t="shared" si="32"/>
        <v>20.096931654918169</v>
      </c>
      <c r="F538" s="188" t="str">
        <f t="shared" si="33"/>
        <v/>
      </c>
      <c r="G538" t="str">
        <f t="shared" si="34"/>
        <v/>
      </c>
      <c r="H538" s="188" t="str">
        <f t="shared" si="35"/>
        <v/>
      </c>
    </row>
    <row r="539" spans="1:9" s="189" customFormat="1">
      <c r="A539" s="187">
        <v>487</v>
      </c>
      <c r="B539" s="222">
        <v>45931</v>
      </c>
      <c r="C539" s="221">
        <v>27.746204055655411</v>
      </c>
      <c r="D539" s="221">
        <v>43.337721010228627</v>
      </c>
      <c r="E539" s="221">
        <f t="shared" si="32"/>
        <v>27.746204055655411</v>
      </c>
      <c r="F539" s="188">
        <f t="shared" si="33"/>
        <v>600</v>
      </c>
      <c r="G539" t="str">
        <f t="shared" si="34"/>
        <v/>
      </c>
      <c r="H539" s="188" t="str">
        <f t="shared" si="35"/>
        <v/>
      </c>
    </row>
    <row r="540" spans="1:9" s="189" customFormat="1">
      <c r="A540" s="187">
        <v>488</v>
      </c>
      <c r="B540" s="222">
        <v>45932</v>
      </c>
      <c r="C540" s="221">
        <v>20.303725238655417</v>
      </c>
      <c r="D540" s="221">
        <v>43.337721010228627</v>
      </c>
      <c r="E540" s="221">
        <f t="shared" si="32"/>
        <v>20.303725238655417</v>
      </c>
      <c r="F540" s="188" t="str">
        <f t="shared" si="33"/>
        <v/>
      </c>
      <c r="G540" t="str">
        <f t="shared" si="34"/>
        <v/>
      </c>
      <c r="H540" s="188" t="str">
        <f t="shared" si="35"/>
        <v/>
      </c>
    </row>
    <row r="541" spans="1:9" s="189" customFormat="1">
      <c r="A541" s="187">
        <v>489</v>
      </c>
      <c r="B541" s="222">
        <v>45933</v>
      </c>
      <c r="C541" s="221">
        <v>20.529555674659132</v>
      </c>
      <c r="D541" s="221">
        <v>43.337721010228627</v>
      </c>
      <c r="E541" s="221">
        <f t="shared" si="32"/>
        <v>20.529555674659132</v>
      </c>
      <c r="F541" s="188" t="str">
        <f t="shared" si="33"/>
        <v/>
      </c>
      <c r="G541" t="str">
        <f t="shared" si="34"/>
        <v/>
      </c>
      <c r="H541" s="188" t="str">
        <f t="shared" si="35"/>
        <v/>
      </c>
    </row>
    <row r="542" spans="1:9" s="189" customFormat="1">
      <c r="A542" s="187">
        <v>490</v>
      </c>
      <c r="B542" s="222">
        <v>45934</v>
      </c>
      <c r="C542" s="221">
        <v>14.251119198657275</v>
      </c>
      <c r="D542" s="221">
        <v>43.337721010228627</v>
      </c>
      <c r="E542" s="221">
        <f t="shared" si="32"/>
        <v>14.251119198657275</v>
      </c>
      <c r="F542" s="188" t="str">
        <f t="shared" si="33"/>
        <v/>
      </c>
      <c r="G542" t="str">
        <f t="shared" si="34"/>
        <v/>
      </c>
      <c r="H542" s="188" t="str">
        <f t="shared" si="35"/>
        <v/>
      </c>
    </row>
    <row r="543" spans="1:9">
      <c r="A543" s="187">
        <v>491</v>
      </c>
      <c r="B543" s="222">
        <v>45935</v>
      </c>
      <c r="C543" s="221">
        <v>0.9801497546572755</v>
      </c>
      <c r="D543" s="221">
        <v>43.337721010228627</v>
      </c>
      <c r="E543" s="221">
        <f t="shared" si="32"/>
        <v>0.9801497546572755</v>
      </c>
      <c r="F543" s="188" t="str">
        <f t="shared" si="33"/>
        <v/>
      </c>
      <c r="G543" t="str">
        <f t="shared" si="34"/>
        <v/>
      </c>
      <c r="H543" s="188" t="str">
        <f t="shared" si="35"/>
        <v/>
      </c>
      <c r="I543" s="189"/>
    </row>
    <row r="544" spans="1:9">
      <c r="A544" s="187">
        <v>492</v>
      </c>
      <c r="B544" s="222">
        <v>45936</v>
      </c>
      <c r="C544" s="221">
        <v>27.898072389659138</v>
      </c>
      <c r="D544" s="221">
        <v>43.337721010228627</v>
      </c>
      <c r="E544" s="221">
        <f t="shared" si="32"/>
        <v>27.898072389659138</v>
      </c>
      <c r="F544" s="188" t="str">
        <f t="shared" si="33"/>
        <v/>
      </c>
      <c r="G544" t="str">
        <f t="shared" si="34"/>
        <v/>
      </c>
      <c r="H544" s="188" t="str">
        <f t="shared" si="35"/>
        <v/>
      </c>
      <c r="I544" s="189"/>
    </row>
    <row r="545" spans="1:9">
      <c r="A545" s="187">
        <v>493</v>
      </c>
      <c r="B545" s="222">
        <v>45937</v>
      </c>
      <c r="C545" s="221">
        <v>33.149552794655406</v>
      </c>
      <c r="D545" s="221">
        <v>43.337721010228627</v>
      </c>
      <c r="E545" s="221">
        <f t="shared" si="32"/>
        <v>33.149552794655406</v>
      </c>
      <c r="F545" s="188" t="str">
        <f t="shared" si="33"/>
        <v/>
      </c>
      <c r="G545" t="str">
        <f t="shared" si="34"/>
        <v/>
      </c>
      <c r="H545" s="188" t="str">
        <f t="shared" si="35"/>
        <v/>
      </c>
      <c r="I545" s="189"/>
    </row>
    <row r="546" spans="1:9">
      <c r="A546" s="187">
        <v>494</v>
      </c>
      <c r="B546" s="222">
        <v>45938</v>
      </c>
      <c r="C546" s="221">
        <v>35.469150293980334</v>
      </c>
      <c r="D546" s="221">
        <v>43.337721010228627</v>
      </c>
      <c r="E546" s="221">
        <f t="shared" si="32"/>
        <v>35.469150293980334</v>
      </c>
      <c r="F546" s="188" t="str">
        <f t="shared" si="33"/>
        <v/>
      </c>
      <c r="G546" t="str">
        <f t="shared" si="34"/>
        <v/>
      </c>
      <c r="H546" s="188" t="str">
        <f t="shared" si="35"/>
        <v/>
      </c>
      <c r="I546" s="189"/>
    </row>
    <row r="547" spans="1:9">
      <c r="A547" s="187">
        <v>495</v>
      </c>
      <c r="B547" s="222">
        <v>45939</v>
      </c>
      <c r="C547" s="221">
        <v>8.9310006469803263</v>
      </c>
      <c r="D547" s="221">
        <v>43.337721010228627</v>
      </c>
      <c r="E547" s="221">
        <f t="shared" si="32"/>
        <v>8.9310006469803263</v>
      </c>
      <c r="F547" s="188" t="str">
        <f t="shared" si="33"/>
        <v/>
      </c>
      <c r="G547" t="str">
        <f t="shared" si="34"/>
        <v/>
      </c>
      <c r="H547" s="188" t="str">
        <f t="shared" si="35"/>
        <v/>
      </c>
      <c r="I547" s="189"/>
    </row>
    <row r="548" spans="1:9">
      <c r="A548" s="187">
        <v>496</v>
      </c>
      <c r="B548" s="222">
        <v>45940</v>
      </c>
      <c r="C548" s="221">
        <v>6.7232391649821874</v>
      </c>
      <c r="D548" s="221">
        <v>43.337721010228627</v>
      </c>
      <c r="E548" s="221">
        <f t="shared" si="32"/>
        <v>6.7232391649821874</v>
      </c>
      <c r="F548" s="188" t="str">
        <f t="shared" si="33"/>
        <v/>
      </c>
      <c r="G548" t="str">
        <f t="shared" si="34"/>
        <v/>
      </c>
      <c r="H548" s="188" t="str">
        <f t="shared" si="35"/>
        <v/>
      </c>
      <c r="I548" s="189"/>
    </row>
    <row r="549" spans="1:9">
      <c r="A549" s="187">
        <v>497</v>
      </c>
      <c r="B549" s="222">
        <v>45941</v>
      </c>
      <c r="C549" s="221">
        <v>0.8445232579803269</v>
      </c>
      <c r="D549" s="221">
        <v>43.337721010228627</v>
      </c>
      <c r="E549" s="221">
        <f t="shared" si="32"/>
        <v>0.8445232579803269</v>
      </c>
      <c r="F549" s="188" t="str">
        <f t="shared" si="33"/>
        <v/>
      </c>
      <c r="G549" t="str">
        <f t="shared" si="34"/>
        <v/>
      </c>
      <c r="H549" s="188" t="str">
        <f t="shared" si="35"/>
        <v/>
      </c>
      <c r="I549" s="189"/>
    </row>
    <row r="550" spans="1:9">
      <c r="A550" s="187">
        <v>498</v>
      </c>
      <c r="B550" s="222">
        <v>45942</v>
      </c>
      <c r="C550" s="221">
        <v>0.94240763797846738</v>
      </c>
      <c r="D550" s="221">
        <v>43.337721010228627</v>
      </c>
      <c r="E550" s="221">
        <f t="shared" si="32"/>
        <v>0.94240763797846738</v>
      </c>
      <c r="F550" s="188" t="str">
        <f t="shared" si="33"/>
        <v/>
      </c>
      <c r="G550" t="str">
        <f t="shared" si="34"/>
        <v/>
      </c>
      <c r="H550" s="188" t="str">
        <f t="shared" si="35"/>
        <v/>
      </c>
      <c r="I550" s="189"/>
    </row>
    <row r="551" spans="1:9">
      <c r="A551" s="187">
        <v>499</v>
      </c>
      <c r="B551" s="222">
        <v>45943</v>
      </c>
      <c r="C551" s="221">
        <v>20.542116733982184</v>
      </c>
      <c r="D551" s="221">
        <v>43.337721010228627</v>
      </c>
      <c r="E551" s="221">
        <f t="shared" si="32"/>
        <v>20.542116733982184</v>
      </c>
      <c r="F551" s="188" t="str">
        <f t="shared" si="33"/>
        <v/>
      </c>
      <c r="G551" t="str">
        <f t="shared" si="34"/>
        <v/>
      </c>
      <c r="H551" s="188" t="str">
        <f t="shared" si="35"/>
        <v/>
      </c>
      <c r="I551" s="189"/>
    </row>
    <row r="552" spans="1:9">
      <c r="A552" s="187">
        <v>500</v>
      </c>
      <c r="B552" s="222">
        <v>45944</v>
      </c>
      <c r="C552" s="221">
        <v>24.89823804697847</v>
      </c>
      <c r="D552" s="221">
        <v>43.337721010228627</v>
      </c>
      <c r="E552" s="221">
        <f t="shared" si="32"/>
        <v>24.89823804697847</v>
      </c>
      <c r="F552" s="188" t="str">
        <f t="shared" si="33"/>
        <v/>
      </c>
      <c r="G552" t="str">
        <f t="shared" si="34"/>
        <v/>
      </c>
      <c r="H552" s="188" t="str">
        <f>IF(DAY(B552)=15,IF(MONTH(B552)=1,"E",IF(MONTH(B552)=2,"F",IF(MONTH(B552)=3,"M",IF(MONTH(B552)=4,"A",IF(MONTH(B552)=5,"M",IF(MONTH(B552)=6,"J",IF(MONTH(B552)=7,"J",IF(MONTH(B552)=8,"A",IF(MONTH(B552)=9,"S",IF(MONTH(B552)=10,"O",IF(MONTH(B552)=11,"N",IF(MONTH(B552)=12,"D","")))))))))))),"")</f>
        <v/>
      </c>
      <c r="I552" s="189"/>
    </row>
    <row r="553" spans="1:9">
      <c r="A553" s="187">
        <v>501</v>
      </c>
      <c r="B553" s="222">
        <v>45945</v>
      </c>
      <c r="C553" s="221">
        <v>21.393126561020022</v>
      </c>
      <c r="D553" s="221">
        <v>43.337721010228627</v>
      </c>
      <c r="E553" s="221">
        <f t="shared" si="32"/>
        <v>21.393126561020022</v>
      </c>
      <c r="F553" s="188" t="str">
        <f t="shared" si="33"/>
        <v/>
      </c>
      <c r="G553" t="str">
        <f t="shared" si="34"/>
        <v/>
      </c>
      <c r="H553" s="188" t="str">
        <f>IF(DAY(B553)=15,IF(MONTH(B553)=1,"E",IF(MONTH(B553)=2,"F",IF(MONTH(B553)=3,"M",IF(MONTH(B553)=4,"A",IF(MONTH(B553)=5,"M",IF(MONTH(B553)=6,"J",IF(MONTH(B553)=7,"J",IF(MONTH(B553)=8,"A",IF(MONTH(B553)=9,"S",IF(MONTH(B553)=10,"O",IF(MONTH(B553)=11,"N",IF(MONTH(B553)=12,"D","")))))))))))),"")</f>
        <v>O</v>
      </c>
      <c r="I553" s="189">
        <f>IF(DAY(B553)=15,D553,"")</f>
        <v>43.337721010228627</v>
      </c>
    </row>
    <row r="554" spans="1:9">
      <c r="A554" s="187">
        <v>502</v>
      </c>
      <c r="B554" s="222">
        <v>45946</v>
      </c>
      <c r="C554" s="221">
        <v>14.410976650018158</v>
      </c>
      <c r="D554" s="221">
        <v>43.337721010228627</v>
      </c>
      <c r="E554" s="221">
        <f t="shared" si="32"/>
        <v>14.410976650018158</v>
      </c>
      <c r="F554" s="188" t="str">
        <f t="shared" si="33"/>
        <v/>
      </c>
      <c r="G554" t="str">
        <f t="shared" si="34"/>
        <v/>
      </c>
      <c r="H554" s="188" t="str">
        <f>IF(DAY(B554)=15,IF(MONTH(B554)=1,"E",IF(MONTH(B554)=2,"F",IF(MONTH(B554)=3,"M",IF(MONTH(B554)=4,"A",IF(MONTH(B554)=5,"M",IF(MONTH(B554)=6,"J",IF(MONTH(B554)=7,"J",IF(MONTH(B554)=8,"A",IF(MONTH(B554)=9,"S",IF(MONTH(B554)=10,"O",IF(MONTH(B554)=11,"N",IF(MONTH(B554)=12,"D","")))))))))))),"")</f>
        <v/>
      </c>
      <c r="I554" s="189"/>
    </row>
    <row r="555" spans="1:9">
      <c r="A555" s="187">
        <v>503</v>
      </c>
      <c r="B555" s="222">
        <v>45947</v>
      </c>
      <c r="C555" s="221">
        <v>10.265706714020023</v>
      </c>
      <c r="D555" s="221">
        <v>43.337721010228627</v>
      </c>
      <c r="E555" s="221">
        <f t="shared" si="32"/>
        <v>10.265706714020023</v>
      </c>
      <c r="F555" s="188" t="str">
        <f t="shared" si="33"/>
        <v/>
      </c>
      <c r="G555" t="str">
        <f t="shared" si="34"/>
        <v/>
      </c>
      <c r="H555" s="188" t="str">
        <f t="shared" si="35"/>
        <v/>
      </c>
      <c r="I555" s="189"/>
    </row>
    <row r="556" spans="1:9">
      <c r="A556" s="187">
        <v>504</v>
      </c>
      <c r="B556" s="222">
        <v>45948</v>
      </c>
      <c r="C556" s="221">
        <v>12.446014266016297</v>
      </c>
      <c r="D556" s="221">
        <v>43.337721010228627</v>
      </c>
      <c r="E556" s="221">
        <f t="shared" si="32"/>
        <v>12.446014266016297</v>
      </c>
      <c r="F556" s="188" t="str">
        <f t="shared" si="33"/>
        <v/>
      </c>
      <c r="G556" t="str">
        <f t="shared" si="34"/>
        <v/>
      </c>
      <c r="H556" s="188" t="str">
        <f t="shared" si="35"/>
        <v/>
      </c>
      <c r="I556" s="189"/>
    </row>
    <row r="557" spans="1:9">
      <c r="A557" s="187">
        <v>505</v>
      </c>
      <c r="B557" s="222">
        <v>45949</v>
      </c>
      <c r="C557" s="221">
        <v>1.1078882780200183</v>
      </c>
      <c r="D557" s="221">
        <v>43.337721010228627</v>
      </c>
      <c r="E557" s="221">
        <f t="shared" si="32"/>
        <v>1.1078882780200183</v>
      </c>
      <c r="F557" s="188" t="str">
        <f t="shared" si="33"/>
        <v/>
      </c>
      <c r="G557" t="str">
        <f t="shared" si="34"/>
        <v/>
      </c>
      <c r="H557" s="188" t="str">
        <f t="shared" si="35"/>
        <v/>
      </c>
      <c r="I557" s="189"/>
    </row>
    <row r="558" spans="1:9">
      <c r="A558" s="187">
        <v>506</v>
      </c>
      <c r="B558" s="222">
        <v>45950</v>
      </c>
      <c r="C558" s="221">
        <v>0.65396796601815732</v>
      </c>
      <c r="D558" s="221">
        <v>43.337721010228627</v>
      </c>
      <c r="E558" s="221">
        <f t="shared" si="32"/>
        <v>0.65396796601815732</v>
      </c>
      <c r="F558" s="188" t="str">
        <f t="shared" si="33"/>
        <v/>
      </c>
      <c r="G558" t="str">
        <f t="shared" si="34"/>
        <v/>
      </c>
      <c r="H558" s="188" t="str">
        <f t="shared" si="35"/>
        <v/>
      </c>
      <c r="I558" s="189"/>
    </row>
    <row r="559" spans="1:9" s="189" customFormat="1">
      <c r="A559" s="187">
        <v>507</v>
      </c>
      <c r="B559" s="222">
        <v>45951</v>
      </c>
      <c r="C559" s="221">
        <v>1.5265814540200227</v>
      </c>
      <c r="D559" s="221">
        <v>43.337721010228627</v>
      </c>
      <c r="E559" s="221">
        <f t="shared" si="32"/>
        <v>1.5265814540200227</v>
      </c>
      <c r="F559" s="188" t="str">
        <f t="shared" si="33"/>
        <v/>
      </c>
      <c r="G559" t="str">
        <f t="shared" si="34"/>
        <v/>
      </c>
      <c r="H559" s="188" t="str">
        <f t="shared" si="35"/>
        <v/>
      </c>
    </row>
    <row r="560" spans="1:9" s="189" customFormat="1">
      <c r="A560" s="187">
        <v>508</v>
      </c>
      <c r="B560" s="222">
        <v>45952</v>
      </c>
      <c r="C560" s="221">
        <v>5.4675888744298424</v>
      </c>
      <c r="D560" s="221">
        <v>43.337721010228627</v>
      </c>
      <c r="E560" s="221">
        <f t="shared" si="32"/>
        <v>5.4675888744298424</v>
      </c>
      <c r="F560" s="188" t="str">
        <f t="shared" si="33"/>
        <v/>
      </c>
      <c r="G560" t="str">
        <f t="shared" si="34"/>
        <v/>
      </c>
      <c r="H560" s="188" t="str">
        <f t="shared" si="35"/>
        <v/>
      </c>
    </row>
    <row r="561" spans="1:9" s="189" customFormat="1">
      <c r="A561" s="187">
        <v>509</v>
      </c>
      <c r="B561" s="222">
        <v>45953</v>
      </c>
      <c r="C561" s="221">
        <v>1.0800620864317025</v>
      </c>
      <c r="D561" s="221">
        <v>43.337721010228627</v>
      </c>
      <c r="E561" s="221">
        <f t="shared" si="32"/>
        <v>1.0800620864317025</v>
      </c>
      <c r="F561" s="188" t="str">
        <f t="shared" si="33"/>
        <v/>
      </c>
      <c r="G561" t="str">
        <f t="shared" si="34"/>
        <v/>
      </c>
      <c r="H561" s="188" t="str">
        <f t="shared" si="35"/>
        <v/>
      </c>
    </row>
    <row r="562" spans="1:9" s="189" customFormat="1">
      <c r="A562" s="187">
        <v>510</v>
      </c>
      <c r="B562" s="222">
        <v>45954</v>
      </c>
      <c r="C562" s="221">
        <v>37.674494370431702</v>
      </c>
      <c r="D562" s="221">
        <v>43.337721010228627</v>
      </c>
      <c r="E562" s="221">
        <f t="shared" si="32"/>
        <v>37.674494370431702</v>
      </c>
      <c r="F562" s="188" t="str">
        <f t="shared" si="33"/>
        <v/>
      </c>
      <c r="G562" t="str">
        <f t="shared" si="34"/>
        <v/>
      </c>
      <c r="H562" s="188" t="str">
        <f t="shared" si="35"/>
        <v/>
      </c>
    </row>
    <row r="563" spans="1:9" s="189" customFormat="1">
      <c r="A563" s="187">
        <v>511</v>
      </c>
      <c r="B563" s="222">
        <v>45955</v>
      </c>
      <c r="C563" s="221">
        <v>35.987860658427977</v>
      </c>
      <c r="D563" s="221">
        <v>43.337721010228627</v>
      </c>
      <c r="E563" s="221">
        <f t="shared" si="32"/>
        <v>35.987860658427977</v>
      </c>
      <c r="F563" s="188" t="str">
        <f t="shared" si="33"/>
        <v/>
      </c>
      <c r="G563" t="str">
        <f t="shared" si="34"/>
        <v/>
      </c>
      <c r="H563" s="188" t="str">
        <f t="shared" si="35"/>
        <v/>
      </c>
    </row>
    <row r="564" spans="1:9" s="189" customFormat="1">
      <c r="A564" s="187">
        <v>512</v>
      </c>
      <c r="B564" s="222">
        <v>45956</v>
      </c>
      <c r="C564" s="221">
        <v>9.4288872184317007</v>
      </c>
      <c r="D564" s="221">
        <v>43.337721010228627</v>
      </c>
      <c r="E564" s="221">
        <f t="shared" ref="E564:E627" si="36">IF(C564&lt;D564,C564,D564)</f>
        <v>9.4288872184317007</v>
      </c>
      <c r="F564" s="188" t="str">
        <f t="shared" ref="F564:F627" si="37">IF(DAY(B564)=1,600,"")</f>
        <v/>
      </c>
      <c r="G564" t="str">
        <f t="shared" si="34"/>
        <v/>
      </c>
      <c r="H564" s="188" t="str">
        <f t="shared" si="35"/>
        <v/>
      </c>
    </row>
    <row r="565" spans="1:9" s="189" customFormat="1">
      <c r="A565" s="187">
        <v>513</v>
      </c>
      <c r="B565" s="222">
        <v>45957</v>
      </c>
      <c r="C565" s="221">
        <v>32.528654106431709</v>
      </c>
      <c r="D565" s="221">
        <v>43.337721010228627</v>
      </c>
      <c r="E565" s="221">
        <f t="shared" si="36"/>
        <v>32.528654106431709</v>
      </c>
      <c r="F565" s="188" t="str">
        <f t="shared" si="37"/>
        <v/>
      </c>
      <c r="G565" t="str">
        <f t="shared" si="34"/>
        <v/>
      </c>
      <c r="H565" s="188" t="str">
        <f t="shared" si="35"/>
        <v/>
      </c>
    </row>
    <row r="566" spans="1:9" s="189" customFormat="1">
      <c r="A566" s="187">
        <v>514</v>
      </c>
      <c r="B566" s="222">
        <v>45958</v>
      </c>
      <c r="C566" s="221">
        <v>34.8785735104317</v>
      </c>
      <c r="D566" s="221">
        <v>43.337721010228627</v>
      </c>
      <c r="E566" s="221">
        <f t="shared" si="36"/>
        <v>34.8785735104317</v>
      </c>
      <c r="F566" s="188" t="str">
        <f t="shared" si="37"/>
        <v/>
      </c>
      <c r="G566" t="str">
        <f t="shared" ref="G566:G629" si="38">IF(MONTH(B566)=1,IF(DAY(B566)=1,YEAR(B566),""),"")</f>
        <v/>
      </c>
      <c r="H566" s="188" t="str">
        <f t="shared" si="35"/>
        <v/>
      </c>
    </row>
    <row r="567" spans="1:9" s="189" customFormat="1">
      <c r="A567" s="187">
        <v>515</v>
      </c>
      <c r="B567" s="222">
        <v>45959</v>
      </c>
      <c r="C567" s="221">
        <v>45.977988408789201</v>
      </c>
      <c r="D567" s="221">
        <v>43.337721010228627</v>
      </c>
      <c r="E567" s="221">
        <f t="shared" si="36"/>
        <v>43.337721010228627</v>
      </c>
      <c r="F567" s="188" t="str">
        <f t="shared" si="37"/>
        <v/>
      </c>
      <c r="G567" t="str">
        <f t="shared" si="38"/>
        <v/>
      </c>
      <c r="H567" s="188" t="str">
        <f t="shared" si="35"/>
        <v/>
      </c>
    </row>
    <row r="568" spans="1:9" s="189" customFormat="1">
      <c r="A568" s="187">
        <v>516</v>
      </c>
      <c r="B568" s="222">
        <v>45960</v>
      </c>
      <c r="C568" s="221">
        <v>37.268005940792925</v>
      </c>
      <c r="D568" s="221">
        <v>43.337721010228627</v>
      </c>
      <c r="E568" s="221">
        <f t="shared" si="36"/>
        <v>37.268005940792925</v>
      </c>
      <c r="F568" s="188" t="str">
        <f t="shared" si="37"/>
        <v/>
      </c>
      <c r="G568" t="str">
        <f t="shared" si="38"/>
        <v/>
      </c>
      <c r="H568" s="188" t="str">
        <f t="shared" si="35"/>
        <v/>
      </c>
    </row>
    <row r="569" spans="1:9" s="189" customFormat="1">
      <c r="A569" s="187">
        <v>517</v>
      </c>
      <c r="B569" s="222">
        <v>45961</v>
      </c>
      <c r="C569" s="221">
        <v>21.037160460791064</v>
      </c>
      <c r="D569" s="221">
        <v>43.337721010228627</v>
      </c>
      <c r="E569" s="221">
        <f t="shared" si="36"/>
        <v>21.037160460791064</v>
      </c>
      <c r="F569" s="188" t="str">
        <f t="shared" si="37"/>
        <v/>
      </c>
      <c r="G569" t="str">
        <f t="shared" si="38"/>
        <v/>
      </c>
      <c r="H569" s="188" t="str">
        <f t="shared" si="35"/>
        <v/>
      </c>
    </row>
    <row r="570" spans="1:9" s="189" customFormat="1">
      <c r="A570" s="187">
        <v>518</v>
      </c>
      <c r="B570" s="222">
        <v>45962</v>
      </c>
      <c r="C570" s="221">
        <v>18.258551112792919</v>
      </c>
      <c r="D570" s="221">
        <v>82.357864438204317</v>
      </c>
      <c r="E570" s="221">
        <f t="shared" si="36"/>
        <v>18.258551112792919</v>
      </c>
      <c r="F570" s="188">
        <f t="shared" si="37"/>
        <v>600</v>
      </c>
      <c r="G570" t="str">
        <f t="shared" si="38"/>
        <v/>
      </c>
      <c r="H570" s="188" t="str">
        <f t="shared" si="35"/>
        <v/>
      </c>
    </row>
    <row r="571" spans="1:9" s="189" customFormat="1">
      <c r="A571" s="187">
        <v>519</v>
      </c>
      <c r="B571" s="222">
        <v>45963</v>
      </c>
      <c r="C571" s="221">
        <v>9.4054813527910586</v>
      </c>
      <c r="D571" s="221">
        <v>82.357864438204317</v>
      </c>
      <c r="E571" s="221">
        <f t="shared" si="36"/>
        <v>9.4054813527910586</v>
      </c>
      <c r="F571" s="188" t="str">
        <f t="shared" si="37"/>
        <v/>
      </c>
      <c r="G571" t="str">
        <f t="shared" si="38"/>
        <v/>
      </c>
      <c r="H571" s="188" t="str">
        <f t="shared" si="35"/>
        <v/>
      </c>
    </row>
    <row r="572" spans="1:9" s="189" customFormat="1">
      <c r="A572" s="187">
        <v>520</v>
      </c>
      <c r="B572" s="222">
        <v>45964</v>
      </c>
      <c r="C572" s="221">
        <v>38.726539824791061</v>
      </c>
      <c r="D572" s="221">
        <v>82.357864438204317</v>
      </c>
      <c r="E572" s="221">
        <f t="shared" si="36"/>
        <v>38.726539824791061</v>
      </c>
      <c r="F572" s="188" t="str">
        <f t="shared" si="37"/>
        <v/>
      </c>
      <c r="G572" t="str">
        <f t="shared" si="38"/>
        <v/>
      </c>
      <c r="H572" s="188" t="str">
        <f t="shared" si="35"/>
        <v/>
      </c>
    </row>
    <row r="573" spans="1:9" s="189" customFormat="1">
      <c r="A573" s="187">
        <v>521</v>
      </c>
      <c r="B573" s="222">
        <v>45965</v>
      </c>
      <c r="C573" s="221">
        <v>26.215021088791058</v>
      </c>
      <c r="D573" s="221">
        <v>82.357864438204317</v>
      </c>
      <c r="E573" s="221">
        <f t="shared" si="36"/>
        <v>26.215021088791058</v>
      </c>
      <c r="F573" s="188" t="str">
        <f t="shared" si="37"/>
        <v/>
      </c>
      <c r="G573" t="str">
        <f t="shared" si="38"/>
        <v/>
      </c>
      <c r="H573" s="188" t="str">
        <f t="shared" si="35"/>
        <v/>
      </c>
    </row>
    <row r="574" spans="1:9" s="189" customFormat="1">
      <c r="A574" s="187">
        <v>522</v>
      </c>
      <c r="B574" s="222">
        <v>45966</v>
      </c>
      <c r="C574" s="221">
        <v>32.276479210904796</v>
      </c>
      <c r="D574" s="221">
        <v>82.357864438204317</v>
      </c>
      <c r="E574" s="221">
        <f t="shared" si="36"/>
        <v>32.276479210904796</v>
      </c>
      <c r="F574" s="188" t="str">
        <f t="shared" si="37"/>
        <v/>
      </c>
      <c r="G574" t="str">
        <f t="shared" si="38"/>
        <v/>
      </c>
      <c r="H574" s="188" t="str">
        <f t="shared" si="35"/>
        <v/>
      </c>
    </row>
    <row r="575" spans="1:9">
      <c r="A575" s="187">
        <v>523</v>
      </c>
      <c r="B575" s="222">
        <v>45967</v>
      </c>
      <c r="C575" s="221">
        <v>42.908423434906659</v>
      </c>
      <c r="D575" s="221">
        <v>82.357864438204317</v>
      </c>
      <c r="E575" s="221">
        <f t="shared" si="36"/>
        <v>42.908423434906659</v>
      </c>
      <c r="F575" s="188" t="str">
        <f t="shared" si="37"/>
        <v/>
      </c>
      <c r="G575" t="str">
        <f t="shared" si="38"/>
        <v/>
      </c>
      <c r="H575" s="188" t="str">
        <f t="shared" si="35"/>
        <v/>
      </c>
      <c r="I575" s="189"/>
    </row>
    <row r="576" spans="1:9">
      <c r="A576" s="187">
        <v>524</v>
      </c>
      <c r="B576" s="222">
        <v>45968</v>
      </c>
      <c r="C576" s="221">
        <v>71.095897382904809</v>
      </c>
      <c r="D576" s="221">
        <v>82.357864438204317</v>
      </c>
      <c r="E576" s="221">
        <f t="shared" si="36"/>
        <v>71.095897382904809</v>
      </c>
      <c r="F576" s="188" t="str">
        <f t="shared" si="37"/>
        <v/>
      </c>
      <c r="G576" t="str">
        <f t="shared" si="38"/>
        <v/>
      </c>
      <c r="H576" s="188" t="str">
        <f t="shared" si="35"/>
        <v/>
      </c>
      <c r="I576" s="189"/>
    </row>
    <row r="577" spans="1:9">
      <c r="A577" s="187">
        <v>525</v>
      </c>
      <c r="B577" s="222">
        <v>45969</v>
      </c>
      <c r="C577" s="221">
        <v>47.45829990290666</v>
      </c>
      <c r="D577" s="221">
        <v>82.357864438204317</v>
      </c>
      <c r="E577" s="221">
        <f t="shared" si="36"/>
        <v>47.45829990290666</v>
      </c>
      <c r="F577" s="188" t="str">
        <f t="shared" si="37"/>
        <v/>
      </c>
      <c r="G577" t="str">
        <f t="shared" si="38"/>
        <v/>
      </c>
      <c r="H577" s="188" t="str">
        <f t="shared" si="35"/>
        <v/>
      </c>
      <c r="I577" s="189"/>
    </row>
    <row r="578" spans="1:9">
      <c r="A578" s="187">
        <v>526</v>
      </c>
      <c r="B578" s="222">
        <v>45970</v>
      </c>
      <c r="C578" s="221">
        <v>55.128240406906663</v>
      </c>
      <c r="D578" s="221">
        <v>82.357864438204317</v>
      </c>
      <c r="E578" s="221">
        <f t="shared" si="36"/>
        <v>55.128240406906663</v>
      </c>
      <c r="F578" s="188" t="str">
        <f t="shared" si="37"/>
        <v/>
      </c>
      <c r="G578" t="str">
        <f t="shared" si="38"/>
        <v/>
      </c>
      <c r="H578" s="188" t="str">
        <f t="shared" si="35"/>
        <v/>
      </c>
      <c r="I578" s="189"/>
    </row>
    <row r="579" spans="1:9">
      <c r="A579" s="187">
        <v>527</v>
      </c>
      <c r="B579" s="222">
        <v>45971</v>
      </c>
      <c r="C579" s="221">
        <v>84.207346098904807</v>
      </c>
      <c r="D579" s="221">
        <v>82.357864438204317</v>
      </c>
      <c r="E579" s="221">
        <f t="shared" si="36"/>
        <v>82.357864438204317</v>
      </c>
      <c r="F579" s="188" t="str">
        <f t="shared" si="37"/>
        <v/>
      </c>
      <c r="G579" t="str">
        <f t="shared" si="38"/>
        <v/>
      </c>
      <c r="H579" s="188" t="str">
        <f t="shared" ref="H579:H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I579" s="189"/>
    </row>
    <row r="580" spans="1:9">
      <c r="A580" s="187">
        <v>528</v>
      </c>
      <c r="B580" s="222">
        <v>45972</v>
      </c>
      <c r="C580" s="221">
        <v>63.072944074906665</v>
      </c>
      <c r="D580" s="221">
        <v>82.357864438204317</v>
      </c>
      <c r="E580" s="221">
        <f t="shared" si="36"/>
        <v>63.072944074906665</v>
      </c>
      <c r="F580" s="188" t="str">
        <f t="shared" si="37"/>
        <v/>
      </c>
      <c r="G580" t="str">
        <f t="shared" si="38"/>
        <v/>
      </c>
      <c r="H580" s="188" t="str">
        <f t="shared" si="39"/>
        <v/>
      </c>
      <c r="I580" s="189"/>
    </row>
    <row r="581" spans="1:9">
      <c r="A581" s="187">
        <v>529</v>
      </c>
      <c r="B581" s="222">
        <v>45973</v>
      </c>
      <c r="C581" s="221">
        <v>99.469765719958872</v>
      </c>
      <c r="D581" s="221">
        <v>82.357864438204317</v>
      </c>
      <c r="E581" s="221">
        <f t="shared" si="36"/>
        <v>82.357864438204317</v>
      </c>
      <c r="F581" s="188" t="str">
        <f t="shared" si="37"/>
        <v/>
      </c>
      <c r="G581" t="str">
        <f t="shared" si="38"/>
        <v/>
      </c>
      <c r="H581" s="188" t="str">
        <f t="shared" si="39"/>
        <v/>
      </c>
      <c r="I581" s="189"/>
    </row>
    <row r="582" spans="1:9">
      <c r="A582" s="187">
        <v>530</v>
      </c>
      <c r="B582" s="222">
        <v>45974</v>
      </c>
      <c r="C582" s="221">
        <v>109.47637719995888</v>
      </c>
      <c r="D582" s="221">
        <v>82.357864438204317</v>
      </c>
      <c r="E582" s="221">
        <f t="shared" si="36"/>
        <v>82.357864438204317</v>
      </c>
      <c r="F582" s="188" t="str">
        <f t="shared" si="37"/>
        <v/>
      </c>
      <c r="G582" t="str">
        <f t="shared" si="38"/>
        <v/>
      </c>
      <c r="H582" s="188" t="str">
        <f>IF(DAY(B582)=15,IF(MONTH(B582)=1,"E",IF(MONTH(B582)=2,"F",IF(MONTH(B582)=3,"M",IF(MONTH(B582)=4,"A",IF(MONTH(B582)=5,"M",IF(MONTH(B582)=6,"J",IF(MONTH(B582)=7,"J",IF(MONTH(B582)=8,"A",IF(MONTH(B582)=9,"S",IF(MONTH(B582)=10,"O",IF(MONTH(B582)=11,"N",IF(MONTH(B582)=12,"D","")))))))))))),"")</f>
        <v/>
      </c>
      <c r="I582" s="189"/>
    </row>
    <row r="583" spans="1:9">
      <c r="A583" s="187">
        <v>531</v>
      </c>
      <c r="B583" s="222">
        <v>45975</v>
      </c>
      <c r="C583" s="221">
        <v>108.85852181195887</v>
      </c>
      <c r="D583" s="221">
        <v>82.357864438204317</v>
      </c>
      <c r="E583" s="221">
        <f t="shared" si="36"/>
        <v>82.357864438204317</v>
      </c>
      <c r="F583" s="188" t="str">
        <f t="shared" si="37"/>
        <v/>
      </c>
      <c r="G583" t="str">
        <f t="shared" si="38"/>
        <v/>
      </c>
      <c r="H583" s="188" t="str">
        <f t="shared" si="39"/>
        <v/>
      </c>
      <c r="I583" s="189"/>
    </row>
    <row r="584" spans="1:9">
      <c r="A584" s="187">
        <v>532</v>
      </c>
      <c r="B584" s="222">
        <v>45976</v>
      </c>
      <c r="C584" s="221">
        <v>117.35213305995887</v>
      </c>
      <c r="D584" s="221">
        <v>82.357864438204317</v>
      </c>
      <c r="E584" s="221">
        <f t="shared" si="36"/>
        <v>82.357864438204317</v>
      </c>
      <c r="F584" s="188" t="str">
        <f t="shared" si="37"/>
        <v/>
      </c>
      <c r="G584" t="str">
        <f t="shared" si="38"/>
        <v/>
      </c>
      <c r="H584" s="188" t="str">
        <f>IF(DAY(B584)=15,IF(MONTH(B584)=1,"E",IF(MONTH(B584)=2,"F",IF(MONTH(B584)=3,"M",IF(MONTH(B584)=4,"A",IF(MONTH(B584)=5,"M",IF(MONTH(B584)=6,"J",IF(MONTH(B584)=7,"J",IF(MONTH(B584)=8,"A",IF(MONTH(B584)=9,"S",IF(MONTH(B584)=10,"O",IF(MONTH(B584)=11,"N",IF(MONTH(B584)=12,"D","")))))))))))),"")</f>
        <v>N</v>
      </c>
      <c r="I584" s="189">
        <f>IF(DAY(B584)=15,D584,"")</f>
        <v>82.357864438204317</v>
      </c>
    </row>
    <row r="585" spans="1:9">
      <c r="A585" s="187">
        <v>533</v>
      </c>
      <c r="B585" s="222">
        <v>45977</v>
      </c>
      <c r="C585" s="221">
        <v>119.62128931595889</v>
      </c>
      <c r="D585" s="221">
        <v>82.357864438204317</v>
      </c>
      <c r="E585" s="221">
        <f t="shared" si="36"/>
        <v>82.357864438204317</v>
      </c>
      <c r="F585" s="188" t="str">
        <f t="shared" si="37"/>
        <v/>
      </c>
      <c r="G585" t="str">
        <f t="shared" si="38"/>
        <v/>
      </c>
      <c r="H585" s="188" t="str">
        <f>IF(DAY(B585)=15,IF(MONTH(B585)=1,"E",IF(MONTH(B585)=2,"F",IF(MONTH(B585)=3,"M",IF(MONTH(B585)=4,"A",IF(MONTH(B585)=5,"M",IF(MONTH(B585)=6,"J",IF(MONTH(B585)=7,"J",IF(MONTH(B585)=8,"A",IF(MONTH(B585)=9,"S",IF(MONTH(B585)=10,"O",IF(MONTH(B585)=11,"N",IF(MONTH(B585)=12,"D","")))))))))))),"")</f>
        <v/>
      </c>
      <c r="I585" s="189"/>
    </row>
    <row r="586" spans="1:9">
      <c r="A586" s="187">
        <v>534</v>
      </c>
      <c r="B586" s="222">
        <v>45978</v>
      </c>
      <c r="C586" s="221">
        <v>139.89352868395886</v>
      </c>
      <c r="D586" s="221">
        <v>82.357864438204317</v>
      </c>
      <c r="E586" s="221">
        <f t="shared" si="36"/>
        <v>82.357864438204317</v>
      </c>
      <c r="F586" s="188" t="str">
        <f t="shared" si="37"/>
        <v/>
      </c>
      <c r="G586" t="str">
        <f t="shared" si="38"/>
        <v/>
      </c>
      <c r="H586" s="188" t="str">
        <f t="shared" si="39"/>
        <v/>
      </c>
      <c r="I586" s="189"/>
    </row>
    <row r="587" spans="1:9">
      <c r="A587" s="187">
        <v>535</v>
      </c>
      <c r="B587" s="222">
        <v>45979</v>
      </c>
      <c r="C587" s="221">
        <v>138.29056451996072</v>
      </c>
      <c r="D587" s="221">
        <v>82.357864438204317</v>
      </c>
      <c r="E587" s="221">
        <f t="shared" si="36"/>
        <v>82.357864438204317</v>
      </c>
      <c r="F587" s="188" t="str">
        <f t="shared" si="37"/>
        <v/>
      </c>
      <c r="G587" t="str">
        <f t="shared" si="38"/>
        <v/>
      </c>
      <c r="H587" s="188" t="str">
        <f t="shared" si="39"/>
        <v/>
      </c>
      <c r="I587" s="189"/>
    </row>
    <row r="588" spans="1:9">
      <c r="A588" s="187">
        <v>536</v>
      </c>
      <c r="B588" s="222">
        <v>45980</v>
      </c>
      <c r="C588" s="221">
        <v>120.09712795010759</v>
      </c>
      <c r="D588" s="221">
        <v>82.357864438204317</v>
      </c>
      <c r="E588" s="221">
        <f t="shared" si="36"/>
        <v>82.357864438204317</v>
      </c>
      <c r="F588" s="188" t="str">
        <f t="shared" si="37"/>
        <v/>
      </c>
      <c r="G588" t="str">
        <f t="shared" si="38"/>
        <v/>
      </c>
      <c r="H588" s="188" t="str">
        <f t="shared" si="39"/>
        <v/>
      </c>
      <c r="I588" s="189"/>
    </row>
    <row r="589" spans="1:9">
      <c r="A589" s="187">
        <v>537</v>
      </c>
      <c r="B589" s="222">
        <v>45981</v>
      </c>
      <c r="C589" s="221">
        <v>108.98283646210758</v>
      </c>
      <c r="D589" s="221">
        <v>82.357864438204317</v>
      </c>
      <c r="E589" s="221">
        <f t="shared" si="36"/>
        <v>82.357864438204317</v>
      </c>
      <c r="F589" s="188" t="str">
        <f t="shared" si="37"/>
        <v/>
      </c>
      <c r="G589" t="str">
        <f t="shared" si="38"/>
        <v/>
      </c>
      <c r="H589" s="188" t="str">
        <f t="shared" si="39"/>
        <v/>
      </c>
      <c r="I589" s="189"/>
    </row>
    <row r="590" spans="1:9">
      <c r="A590" s="187">
        <v>538</v>
      </c>
      <c r="B590" s="222">
        <v>45982</v>
      </c>
      <c r="C590" s="221">
        <v>105.42105569810759</v>
      </c>
      <c r="D590" s="221">
        <v>82.357864438204317</v>
      </c>
      <c r="E590" s="221">
        <f t="shared" si="36"/>
        <v>82.357864438204317</v>
      </c>
      <c r="F590" s="188" t="str">
        <f t="shared" si="37"/>
        <v/>
      </c>
      <c r="G590" t="str">
        <f t="shared" si="38"/>
        <v/>
      </c>
      <c r="H590" s="188" t="str">
        <f t="shared" si="39"/>
        <v/>
      </c>
      <c r="I590" s="189"/>
    </row>
    <row r="591" spans="1:9" s="189" customFormat="1">
      <c r="A591" s="187">
        <v>539</v>
      </c>
      <c r="B591" s="222">
        <v>45983</v>
      </c>
      <c r="C591" s="221">
        <v>95.949400002107595</v>
      </c>
      <c r="D591" s="221">
        <v>82.357864438204317</v>
      </c>
      <c r="E591" s="221">
        <f t="shared" si="36"/>
        <v>82.357864438204317</v>
      </c>
      <c r="F591" s="188" t="str">
        <f t="shared" si="37"/>
        <v/>
      </c>
      <c r="G591" t="str">
        <f t="shared" si="38"/>
        <v/>
      </c>
      <c r="H591" s="188" t="str">
        <f t="shared" si="39"/>
        <v/>
      </c>
    </row>
    <row r="592" spans="1:9" s="189" customFormat="1">
      <c r="A592" s="187">
        <v>540</v>
      </c>
      <c r="B592" s="222">
        <v>45984</v>
      </c>
      <c r="C592" s="221">
        <v>80.399772578107587</v>
      </c>
      <c r="D592" s="221">
        <v>82.357864438204317</v>
      </c>
      <c r="E592" s="221">
        <f t="shared" si="36"/>
        <v>80.399772578107587</v>
      </c>
      <c r="F592" s="188" t="str">
        <f t="shared" si="37"/>
        <v/>
      </c>
      <c r="G592" t="str">
        <f t="shared" si="38"/>
        <v/>
      </c>
      <c r="H592" s="188" t="str">
        <f t="shared" si="39"/>
        <v/>
      </c>
    </row>
    <row r="593" spans="1:9" s="189" customFormat="1">
      <c r="A593" s="187">
        <v>541</v>
      </c>
      <c r="B593" s="222">
        <v>45985</v>
      </c>
      <c r="C593" s="221">
        <v>76.287765526107606</v>
      </c>
      <c r="D593" s="221">
        <v>82.357864438204317</v>
      </c>
      <c r="E593" s="221">
        <f t="shared" si="36"/>
        <v>76.287765526107606</v>
      </c>
      <c r="F593" s="188" t="str">
        <f t="shared" si="37"/>
        <v/>
      </c>
      <c r="G593" t="str">
        <f t="shared" si="38"/>
        <v/>
      </c>
      <c r="H593" s="188" t="str">
        <f t="shared" si="39"/>
        <v/>
      </c>
    </row>
    <row r="594" spans="1:9" s="189" customFormat="1">
      <c r="A594" s="187">
        <v>542</v>
      </c>
      <c r="B594" s="222">
        <v>45986</v>
      </c>
      <c r="C594" s="221">
        <v>84.538143318109448</v>
      </c>
      <c r="D594" s="221">
        <v>82.357864438204317</v>
      </c>
      <c r="E594" s="221">
        <f t="shared" si="36"/>
        <v>82.357864438204317</v>
      </c>
      <c r="F594" s="188" t="str">
        <f t="shared" si="37"/>
        <v/>
      </c>
      <c r="G594" t="str">
        <f t="shared" si="38"/>
        <v/>
      </c>
      <c r="H594" s="188" t="str">
        <f t="shared" si="39"/>
        <v/>
      </c>
    </row>
    <row r="595" spans="1:9" s="189" customFormat="1">
      <c r="A595" s="187">
        <v>543</v>
      </c>
      <c r="B595" s="222">
        <v>45987</v>
      </c>
      <c r="C595" s="221">
        <v>90.684440992273366</v>
      </c>
      <c r="D595" s="221">
        <v>82.357864438204317</v>
      </c>
      <c r="E595" s="221">
        <f t="shared" si="36"/>
        <v>82.357864438204317</v>
      </c>
      <c r="F595" s="188" t="str">
        <f t="shared" si="37"/>
        <v/>
      </c>
      <c r="G595" t="str">
        <f t="shared" si="38"/>
        <v/>
      </c>
      <c r="H595" s="188" t="str">
        <f t="shared" si="39"/>
        <v/>
      </c>
    </row>
    <row r="596" spans="1:9" s="189" customFormat="1">
      <c r="A596" s="187">
        <v>544</v>
      </c>
      <c r="B596" s="222">
        <v>45988</v>
      </c>
      <c r="C596" s="221">
        <v>109.85750236427336</v>
      </c>
      <c r="D596" s="221">
        <v>82.357864438204317</v>
      </c>
      <c r="E596" s="221">
        <f t="shared" si="36"/>
        <v>82.357864438204317</v>
      </c>
      <c r="F596" s="188" t="str">
        <f t="shared" si="37"/>
        <v/>
      </c>
      <c r="G596" t="str">
        <f t="shared" si="38"/>
        <v/>
      </c>
      <c r="H596" s="188" t="str">
        <f t="shared" si="39"/>
        <v/>
      </c>
    </row>
    <row r="597" spans="1:9" s="189" customFormat="1">
      <c r="A597" s="187">
        <v>545</v>
      </c>
      <c r="B597" s="222">
        <v>45989</v>
      </c>
      <c r="C597" s="221">
        <v>121.55350244827522</v>
      </c>
      <c r="D597" s="221">
        <v>82.357864438204317</v>
      </c>
      <c r="E597" s="221">
        <f t="shared" si="36"/>
        <v>82.357864438204317</v>
      </c>
      <c r="F597" s="188" t="str">
        <f t="shared" si="37"/>
        <v/>
      </c>
      <c r="G597" t="str">
        <f t="shared" si="38"/>
        <v/>
      </c>
      <c r="H597" s="188" t="str">
        <f t="shared" si="39"/>
        <v/>
      </c>
    </row>
    <row r="598" spans="1:9" s="189" customFormat="1">
      <c r="A598" s="187">
        <v>546</v>
      </c>
      <c r="B598" s="222">
        <v>45990</v>
      </c>
      <c r="C598" s="221">
        <v>89.540681420273344</v>
      </c>
      <c r="D598" s="221">
        <v>82.357864438204317</v>
      </c>
      <c r="E598" s="221">
        <f t="shared" si="36"/>
        <v>82.357864438204317</v>
      </c>
      <c r="F598" s="188" t="str">
        <f t="shared" si="37"/>
        <v/>
      </c>
      <c r="G598" t="str">
        <f t="shared" si="38"/>
        <v/>
      </c>
      <c r="H598" s="188" t="str">
        <f t="shared" si="39"/>
        <v/>
      </c>
    </row>
    <row r="599" spans="1:9" s="189" customFormat="1">
      <c r="A599" s="187">
        <v>547</v>
      </c>
      <c r="B599" s="222">
        <v>45991</v>
      </c>
      <c r="C599" s="221">
        <v>70.624009588275214</v>
      </c>
      <c r="D599" s="221">
        <v>82.357864438204317</v>
      </c>
      <c r="E599" s="221">
        <f t="shared" si="36"/>
        <v>70.624009588275214</v>
      </c>
      <c r="F599" s="188" t="str">
        <f t="shared" si="37"/>
        <v/>
      </c>
      <c r="G599" t="str">
        <f t="shared" si="38"/>
        <v/>
      </c>
      <c r="H599" s="188" t="str">
        <f t="shared" si="39"/>
        <v/>
      </c>
    </row>
    <row r="600" spans="1:9" s="189" customFormat="1">
      <c r="A600" s="187">
        <v>548</v>
      </c>
      <c r="B600" s="222">
        <v>45992</v>
      </c>
      <c r="C600" s="221">
        <v>97.901718364271488</v>
      </c>
      <c r="D600" s="221">
        <v>105.05542662095111</v>
      </c>
      <c r="E600" s="221">
        <f t="shared" si="36"/>
        <v>97.901718364271488</v>
      </c>
      <c r="F600" s="188">
        <f t="shared" si="37"/>
        <v>600</v>
      </c>
      <c r="G600" t="str">
        <f t="shared" si="38"/>
        <v/>
      </c>
      <c r="H600" s="188" t="str">
        <f t="shared" si="39"/>
        <v/>
      </c>
    </row>
    <row r="601" spans="1:9" s="189" customFormat="1">
      <c r="A601" s="187">
        <v>549</v>
      </c>
      <c r="B601" s="222">
        <v>45993</v>
      </c>
      <c r="C601" s="221">
        <v>114.38635698427709</v>
      </c>
      <c r="D601" s="221">
        <v>105.05542662095111</v>
      </c>
      <c r="E601" s="221">
        <f t="shared" si="36"/>
        <v>105.05542662095111</v>
      </c>
      <c r="F601" s="188" t="str">
        <f t="shared" si="37"/>
        <v/>
      </c>
      <c r="G601" t="str">
        <f t="shared" si="38"/>
        <v/>
      </c>
      <c r="H601" s="188" t="str">
        <f t="shared" si="39"/>
        <v/>
      </c>
    </row>
    <row r="602" spans="1:9" s="189" customFormat="1">
      <c r="A602" s="187">
        <v>550</v>
      </c>
      <c r="B602" s="222">
        <v>45994</v>
      </c>
      <c r="C602" s="221">
        <v>115.95279221025977</v>
      </c>
      <c r="D602" s="221">
        <v>105.05542662095111</v>
      </c>
      <c r="E602" s="221">
        <f t="shared" si="36"/>
        <v>105.05542662095111</v>
      </c>
      <c r="F602" s="188" t="str">
        <f t="shared" si="37"/>
        <v/>
      </c>
      <c r="G602" t="str">
        <f t="shared" si="38"/>
        <v/>
      </c>
      <c r="H602" s="188" t="str">
        <f t="shared" si="39"/>
        <v/>
      </c>
    </row>
    <row r="603" spans="1:9" s="189" customFormat="1">
      <c r="A603" s="187">
        <v>551</v>
      </c>
      <c r="B603" s="222">
        <v>45995</v>
      </c>
      <c r="C603" s="221">
        <v>107.90464700226349</v>
      </c>
      <c r="D603" s="221">
        <v>105.05542662095111</v>
      </c>
      <c r="E603" s="221">
        <f t="shared" si="36"/>
        <v>105.05542662095111</v>
      </c>
      <c r="F603" s="188" t="str">
        <f t="shared" si="37"/>
        <v/>
      </c>
      <c r="G603" t="str">
        <f t="shared" si="38"/>
        <v/>
      </c>
      <c r="H603" s="188" t="str">
        <f t="shared" si="39"/>
        <v/>
      </c>
    </row>
    <row r="604" spans="1:9" s="189" customFormat="1">
      <c r="A604" s="187">
        <v>552</v>
      </c>
      <c r="B604" s="222">
        <v>45996</v>
      </c>
      <c r="C604" s="221">
        <v>98.86733135026536</v>
      </c>
      <c r="D604" s="221">
        <v>105.05542662095111</v>
      </c>
      <c r="E604" s="221">
        <f t="shared" si="36"/>
        <v>98.86733135026536</v>
      </c>
      <c r="F604" s="188" t="str">
        <f t="shared" si="37"/>
        <v/>
      </c>
      <c r="G604" t="str">
        <f t="shared" si="38"/>
        <v/>
      </c>
      <c r="H604" s="188" t="str">
        <f t="shared" si="39"/>
        <v/>
      </c>
    </row>
    <row r="605" spans="1:9" s="189" customFormat="1">
      <c r="A605" s="187">
        <v>553</v>
      </c>
      <c r="B605" s="222">
        <v>45997</v>
      </c>
      <c r="C605" s="221">
        <v>71.855994462259773</v>
      </c>
      <c r="D605" s="221">
        <v>105.05542662095111</v>
      </c>
      <c r="E605" s="221">
        <f t="shared" si="36"/>
        <v>71.855994462259773</v>
      </c>
      <c r="F605" s="188" t="str">
        <f t="shared" si="37"/>
        <v/>
      </c>
      <c r="G605" t="str">
        <f t="shared" si="38"/>
        <v/>
      </c>
      <c r="H605" s="188" t="str">
        <f t="shared" si="39"/>
        <v/>
      </c>
    </row>
    <row r="606" spans="1:9" s="189" customFormat="1">
      <c r="A606" s="187">
        <v>554</v>
      </c>
      <c r="B606" s="222">
        <v>45998</v>
      </c>
      <c r="C606" s="221">
        <v>77.368225970263495</v>
      </c>
      <c r="D606" s="221">
        <v>105.05542662095111</v>
      </c>
      <c r="E606" s="221">
        <f t="shared" si="36"/>
        <v>77.368225970263495</v>
      </c>
      <c r="F606" s="188" t="str">
        <f t="shared" si="37"/>
        <v/>
      </c>
      <c r="G606" t="str">
        <f t="shared" si="38"/>
        <v/>
      </c>
      <c r="H606" s="188" t="str">
        <f t="shared" si="39"/>
        <v/>
      </c>
    </row>
    <row r="607" spans="1:9">
      <c r="A607" s="187">
        <v>555</v>
      </c>
      <c r="B607" s="222">
        <v>45999</v>
      </c>
      <c r="C607" s="221">
        <v>90.036722586261632</v>
      </c>
      <c r="D607" s="221">
        <v>105.05542662095111</v>
      </c>
      <c r="E607" s="221">
        <f t="shared" si="36"/>
        <v>90.036722586261632</v>
      </c>
      <c r="F607" s="188" t="str">
        <f t="shared" si="37"/>
        <v/>
      </c>
      <c r="G607" t="str">
        <f t="shared" si="38"/>
        <v/>
      </c>
      <c r="H607" s="188" t="str">
        <f t="shared" si="39"/>
        <v/>
      </c>
      <c r="I607" s="189"/>
    </row>
    <row r="608" spans="1:9">
      <c r="A608" s="187">
        <v>556</v>
      </c>
      <c r="B608" s="222">
        <v>46000</v>
      </c>
      <c r="C608" s="221">
        <v>111.54039784226164</v>
      </c>
      <c r="D608" s="221">
        <v>105.05542662095111</v>
      </c>
      <c r="E608" s="221">
        <f t="shared" si="36"/>
        <v>105.05542662095111</v>
      </c>
      <c r="F608" s="188" t="str">
        <f t="shared" si="37"/>
        <v/>
      </c>
      <c r="G608" t="str">
        <f t="shared" si="38"/>
        <v/>
      </c>
      <c r="H608" s="188" t="str">
        <f t="shared" si="39"/>
        <v/>
      </c>
      <c r="I608" s="189"/>
    </row>
    <row r="609" spans="1:9">
      <c r="A609" s="187">
        <v>557</v>
      </c>
      <c r="B609" s="222">
        <v>46001</v>
      </c>
      <c r="C609" s="221">
        <v>126.44105665010481</v>
      </c>
      <c r="D609" s="221">
        <v>105.05542662095111</v>
      </c>
      <c r="E609" s="221">
        <f t="shared" si="36"/>
        <v>105.05542662095111</v>
      </c>
      <c r="F609" s="188" t="str">
        <f t="shared" si="37"/>
        <v/>
      </c>
      <c r="G609" t="str">
        <f t="shared" si="38"/>
        <v/>
      </c>
      <c r="H609" s="188" t="str">
        <f t="shared" si="39"/>
        <v/>
      </c>
      <c r="I609" s="189"/>
    </row>
    <row r="610" spans="1:9">
      <c r="A610" s="187">
        <v>558</v>
      </c>
      <c r="B610" s="222">
        <v>46002</v>
      </c>
      <c r="C610" s="221">
        <v>124.33317142610109</v>
      </c>
      <c r="D610" s="221">
        <v>105.05542662095111</v>
      </c>
      <c r="E610" s="221">
        <f t="shared" si="36"/>
        <v>105.05542662095111</v>
      </c>
      <c r="F610" s="188" t="str">
        <f t="shared" si="37"/>
        <v/>
      </c>
      <c r="G610" t="str">
        <f t="shared" si="38"/>
        <v/>
      </c>
      <c r="H610" s="188" t="str">
        <f t="shared" si="39"/>
        <v/>
      </c>
      <c r="I610" s="189"/>
    </row>
    <row r="611" spans="1:9">
      <c r="A611" s="187">
        <v>559</v>
      </c>
      <c r="B611" s="222">
        <v>46003</v>
      </c>
      <c r="C611" s="221">
        <v>124.99246693809924</v>
      </c>
      <c r="D611" s="221">
        <v>105.05542662095111</v>
      </c>
      <c r="E611" s="221">
        <f t="shared" si="36"/>
        <v>105.05542662095111</v>
      </c>
      <c r="F611" s="188" t="str">
        <f t="shared" si="37"/>
        <v/>
      </c>
      <c r="G611" t="str">
        <f t="shared" si="38"/>
        <v/>
      </c>
      <c r="H611" s="188" t="str">
        <f t="shared" si="39"/>
        <v/>
      </c>
      <c r="I611" s="189"/>
    </row>
    <row r="612" spans="1:9">
      <c r="A612" s="187">
        <v>560</v>
      </c>
      <c r="B612" s="222">
        <v>46004</v>
      </c>
      <c r="C612" s="221">
        <v>89.294658898104828</v>
      </c>
      <c r="D612" s="221">
        <v>105.05542662095111</v>
      </c>
      <c r="E612" s="221">
        <f t="shared" si="36"/>
        <v>89.294658898104828</v>
      </c>
      <c r="F612" s="188" t="str">
        <f t="shared" si="37"/>
        <v/>
      </c>
      <c r="G612" t="str">
        <f t="shared" si="38"/>
        <v/>
      </c>
      <c r="H612" s="188" t="str">
        <f t="shared" si="39"/>
        <v/>
      </c>
      <c r="I612" s="189"/>
    </row>
    <row r="613" spans="1:9">
      <c r="A613" s="187">
        <v>561</v>
      </c>
      <c r="B613" s="222">
        <v>46005</v>
      </c>
      <c r="C613" s="221">
        <v>85.4385258381011</v>
      </c>
      <c r="D613" s="221">
        <v>105.05542662095111</v>
      </c>
      <c r="E613" s="221">
        <f t="shared" si="36"/>
        <v>85.4385258381011</v>
      </c>
      <c r="F613" s="188" t="str">
        <f t="shared" si="37"/>
        <v/>
      </c>
      <c r="G613" t="str">
        <f t="shared" si="38"/>
        <v/>
      </c>
      <c r="H613" s="188" t="str">
        <f>IF(DAY(B613)=15,IF(MONTH(B613)=1,"E",IF(MONTH(B613)=2,"F",IF(MONTH(B613)=3,"M",IF(MONTH(B613)=4,"A",IF(MONTH(B613)=5,"M",IF(MONTH(B613)=6,"J",IF(MONTH(B613)=7,"J",IF(MONTH(B613)=8,"A",IF(MONTH(B613)=9,"S",IF(MONTH(B613)=10,"O",IF(MONTH(B613)=11,"N",IF(MONTH(B613)=12,"D","")))))))))))),"")</f>
        <v/>
      </c>
      <c r="I613" s="189"/>
    </row>
    <row r="614" spans="1:9">
      <c r="A614" s="187">
        <v>562</v>
      </c>
      <c r="B614" s="222">
        <v>46006</v>
      </c>
      <c r="C614" s="221">
        <v>117.54742772610297</v>
      </c>
      <c r="D614" s="221">
        <v>105.05542662095111</v>
      </c>
      <c r="E614" s="221">
        <f t="shared" si="36"/>
        <v>105.05542662095111</v>
      </c>
      <c r="F614" s="188" t="str">
        <f t="shared" si="37"/>
        <v/>
      </c>
      <c r="G614" t="str">
        <f t="shared" si="38"/>
        <v/>
      </c>
      <c r="H614" s="188" t="str">
        <f>IF(DAY(B614)=15,IF(MONTH(B614)=1,"E",IF(MONTH(B614)=2,"F",IF(MONTH(B614)=3,"M",IF(MONTH(B614)=4,"A",IF(MONTH(B614)=5,"M",IF(MONTH(B614)=6,"J",IF(MONTH(B614)=7,"J",IF(MONTH(B614)=8,"A",IF(MONTH(B614)=9,"S",IF(MONTH(B614)=10,"O",IF(MONTH(B614)=11,"N",IF(MONTH(B614)=12,"D","")))))))))))),"")</f>
        <v>D</v>
      </c>
      <c r="I614" s="189">
        <f>IF(DAY(B614)=15,D614,"")</f>
        <v>105.05542662095111</v>
      </c>
    </row>
    <row r="615" spans="1:9">
      <c r="A615" s="187">
        <v>563</v>
      </c>
      <c r="B615" s="222">
        <v>46007</v>
      </c>
      <c r="C615" s="221">
        <v>107.58268014810297</v>
      </c>
      <c r="D615" s="221">
        <v>105.05542662095111</v>
      </c>
      <c r="E615" s="221">
        <f t="shared" si="36"/>
        <v>105.05542662095111</v>
      </c>
      <c r="F615" s="188" t="str">
        <f t="shared" si="37"/>
        <v/>
      </c>
      <c r="G615" t="str">
        <f t="shared" si="38"/>
        <v/>
      </c>
      <c r="H615" s="188" t="str">
        <f>IF(DAY(B615)=15,IF(MONTH(B615)=1,"E",IF(MONTH(B615)=2,"F",IF(MONTH(B615)=3,"M",IF(MONTH(B615)=4,"A",IF(MONTH(B615)=5,"M",IF(MONTH(B615)=6,"J",IF(MONTH(B615)=7,"J",IF(MONTH(B615)=8,"A",IF(MONTH(B615)=9,"S",IF(MONTH(B615)=10,"O",IF(MONTH(B615)=11,"N",IF(MONTH(B615)=12,"D","")))))))))))),"")</f>
        <v/>
      </c>
      <c r="I615" s="189"/>
    </row>
    <row r="616" spans="1:9">
      <c r="A616" s="187">
        <v>564</v>
      </c>
      <c r="B616" s="222">
        <v>46008</v>
      </c>
      <c r="C616" s="221">
        <v>122.26003219056237</v>
      </c>
      <c r="D616" s="221">
        <v>105.05542662095111</v>
      </c>
      <c r="E616" s="221">
        <f t="shared" si="36"/>
        <v>105.05542662095111</v>
      </c>
      <c r="F616" s="188" t="str">
        <f t="shared" si="37"/>
        <v/>
      </c>
      <c r="G616" t="str">
        <f t="shared" si="38"/>
        <v/>
      </c>
      <c r="H616" s="188" t="str">
        <f>IF(DAY(B616)=15,IF(MONTH(B616)=1,"E",IF(MONTH(B616)=2,"F",IF(MONTH(B616)=3,"M",IF(MONTH(B616)=4,"A",IF(MONTH(B616)=5,"M",IF(MONTH(B616)=6,"J",IF(MONTH(B616)=7,"J",IF(MONTH(B616)=8,"A",IF(MONTH(B616)=9,"S",IF(MONTH(B616)=10,"O",IF(MONTH(B616)=11,"N",IF(MONTH(B616)=12,"D","")))))))))))),"")</f>
        <v/>
      </c>
      <c r="I616" s="189"/>
    </row>
    <row r="617" spans="1:9">
      <c r="A617" s="187">
        <v>565</v>
      </c>
      <c r="B617" s="222">
        <v>46009</v>
      </c>
      <c r="C617" s="221">
        <v>104.72153659255865</v>
      </c>
      <c r="D617" s="221">
        <v>105.05542662095111</v>
      </c>
      <c r="E617" s="221">
        <f t="shared" si="36"/>
        <v>104.72153659255865</v>
      </c>
      <c r="F617" s="188" t="str">
        <f t="shared" si="37"/>
        <v/>
      </c>
      <c r="G617" t="str">
        <f t="shared" si="38"/>
        <v/>
      </c>
      <c r="H617" s="188" t="str">
        <f t="shared" si="39"/>
        <v/>
      </c>
      <c r="I617" s="189"/>
    </row>
    <row r="618" spans="1:9">
      <c r="A618" s="187">
        <v>566</v>
      </c>
      <c r="B618" s="222">
        <v>46010</v>
      </c>
      <c r="C618" s="221">
        <v>134.40995439756236</v>
      </c>
      <c r="D618" s="221">
        <v>105.05542662095111</v>
      </c>
      <c r="E618" s="221">
        <f t="shared" si="36"/>
        <v>105.05542662095111</v>
      </c>
      <c r="F618" s="188" t="str">
        <f t="shared" si="37"/>
        <v/>
      </c>
      <c r="G618" t="str">
        <f t="shared" si="38"/>
        <v/>
      </c>
      <c r="H618" s="188" t="str">
        <f t="shared" si="39"/>
        <v/>
      </c>
      <c r="I618" s="189"/>
    </row>
    <row r="619" spans="1:9">
      <c r="A619" s="187">
        <v>567</v>
      </c>
      <c r="B619" s="222">
        <v>46011</v>
      </c>
      <c r="C619" s="221">
        <v>109.30248564656051</v>
      </c>
      <c r="D619" s="221">
        <v>105.05542662095111</v>
      </c>
      <c r="E619" s="221">
        <f t="shared" si="36"/>
        <v>105.05542662095111</v>
      </c>
      <c r="F619" s="188" t="str">
        <f t="shared" si="37"/>
        <v/>
      </c>
      <c r="G619" t="str">
        <f t="shared" si="38"/>
        <v/>
      </c>
      <c r="H619" s="188" t="str">
        <f t="shared" si="39"/>
        <v/>
      </c>
      <c r="I619" s="189"/>
    </row>
    <row r="620" spans="1:9">
      <c r="A620" s="187">
        <v>568</v>
      </c>
      <c r="B620" s="222">
        <v>46012</v>
      </c>
      <c r="C620" s="221">
        <v>82.508078432562371</v>
      </c>
      <c r="D620" s="221">
        <v>105.05542662095111</v>
      </c>
      <c r="E620" s="221">
        <f t="shared" si="36"/>
        <v>82.508078432562371</v>
      </c>
      <c r="F620" s="188" t="str">
        <f t="shared" si="37"/>
        <v/>
      </c>
      <c r="G620" t="str">
        <f t="shared" si="38"/>
        <v/>
      </c>
      <c r="H620" s="188" t="str">
        <f t="shared" si="39"/>
        <v/>
      </c>
      <c r="I620" s="189"/>
    </row>
    <row r="621" spans="1:9">
      <c r="A621" s="187">
        <v>569</v>
      </c>
      <c r="B621" s="222">
        <v>46013</v>
      </c>
      <c r="C621" s="221">
        <v>109.51970932956237</v>
      </c>
      <c r="D621" s="221">
        <v>105.05542662095111</v>
      </c>
      <c r="E621" s="221">
        <f t="shared" si="36"/>
        <v>105.05542662095111</v>
      </c>
      <c r="F621" s="188" t="str">
        <f t="shared" si="37"/>
        <v/>
      </c>
      <c r="G621" t="str">
        <f t="shared" si="38"/>
        <v/>
      </c>
      <c r="H621" s="188" t="str">
        <f t="shared" si="39"/>
        <v/>
      </c>
      <c r="I621" s="189"/>
    </row>
    <row r="622" spans="1:9">
      <c r="A622" s="187">
        <v>570</v>
      </c>
      <c r="B622" s="222">
        <v>46014</v>
      </c>
      <c r="C622" s="221">
        <v>117.24106373756237</v>
      </c>
      <c r="D622" s="221">
        <v>105.05542662095111</v>
      </c>
      <c r="E622" s="221">
        <f t="shared" si="36"/>
        <v>105.05542662095111</v>
      </c>
      <c r="F622" s="188" t="str">
        <f t="shared" si="37"/>
        <v/>
      </c>
      <c r="G622" t="str">
        <f t="shared" si="38"/>
        <v/>
      </c>
      <c r="H622" s="188" t="str">
        <f t="shared" si="39"/>
        <v/>
      </c>
      <c r="I622" s="189"/>
    </row>
    <row r="623" spans="1:9" s="189" customFormat="1">
      <c r="A623" s="187">
        <v>571</v>
      </c>
      <c r="B623" s="222">
        <v>46015</v>
      </c>
      <c r="C623" s="221">
        <v>70.514531098416867</v>
      </c>
      <c r="D623" s="221">
        <v>105.05542662095111</v>
      </c>
      <c r="E623" s="221">
        <f t="shared" si="36"/>
        <v>70.514531098416867</v>
      </c>
      <c r="F623" s="188" t="str">
        <f t="shared" si="37"/>
        <v/>
      </c>
      <c r="G623" t="str">
        <f t="shared" si="38"/>
        <v/>
      </c>
      <c r="H623" s="188" t="str">
        <f t="shared" si="39"/>
        <v/>
      </c>
    </row>
    <row r="624" spans="1:9" s="189" customFormat="1">
      <c r="A624" s="187">
        <v>572</v>
      </c>
      <c r="B624" s="222">
        <v>46016</v>
      </c>
      <c r="C624" s="221">
        <v>88.324514350420586</v>
      </c>
      <c r="D624" s="221">
        <v>105.05542662095111</v>
      </c>
      <c r="E624" s="221">
        <f t="shared" si="36"/>
        <v>88.324514350420586</v>
      </c>
      <c r="F624" s="188" t="str">
        <f t="shared" si="37"/>
        <v/>
      </c>
      <c r="G624" t="str">
        <f t="shared" si="38"/>
        <v/>
      </c>
      <c r="H624" s="188" t="str">
        <f t="shared" si="39"/>
        <v/>
      </c>
    </row>
    <row r="625" spans="1:9" s="189" customFormat="1">
      <c r="A625" s="187">
        <v>573</v>
      </c>
      <c r="B625" s="222">
        <v>46017</v>
      </c>
      <c r="C625" s="221">
        <v>127.02526741842058</v>
      </c>
      <c r="D625" s="221">
        <v>105.05542662095111</v>
      </c>
      <c r="E625" s="221">
        <f t="shared" si="36"/>
        <v>105.05542662095111</v>
      </c>
      <c r="F625" s="188" t="str">
        <f t="shared" si="37"/>
        <v/>
      </c>
      <c r="G625" t="str">
        <f t="shared" si="38"/>
        <v/>
      </c>
      <c r="H625" s="188" t="str">
        <f t="shared" si="39"/>
        <v/>
      </c>
    </row>
    <row r="626" spans="1:9" s="189" customFormat="1">
      <c r="A626" s="187">
        <v>574</v>
      </c>
      <c r="B626" s="222">
        <v>46018</v>
      </c>
      <c r="C626" s="221">
        <v>111.84318675841872</v>
      </c>
      <c r="D626" s="221">
        <v>105.05542662095111</v>
      </c>
      <c r="E626" s="221">
        <f t="shared" si="36"/>
        <v>105.05542662095111</v>
      </c>
      <c r="F626" s="188" t="str">
        <f t="shared" si="37"/>
        <v/>
      </c>
      <c r="G626" t="str">
        <f t="shared" si="38"/>
        <v/>
      </c>
      <c r="H626" s="188" t="str">
        <f t="shared" si="39"/>
        <v/>
      </c>
    </row>
    <row r="627" spans="1:9" s="189" customFormat="1">
      <c r="A627" s="187">
        <v>575</v>
      </c>
      <c r="B627" s="222">
        <v>46019</v>
      </c>
      <c r="C627" s="221">
        <v>96.971489306418718</v>
      </c>
      <c r="D627" s="221">
        <v>105.05542662095111</v>
      </c>
      <c r="E627" s="221">
        <f t="shared" si="36"/>
        <v>96.971489306418718</v>
      </c>
      <c r="F627" s="188" t="str">
        <f t="shared" si="37"/>
        <v/>
      </c>
      <c r="G627" t="str">
        <f t="shared" si="38"/>
        <v/>
      </c>
      <c r="H627" s="188" t="str">
        <f t="shared" si="39"/>
        <v/>
      </c>
    </row>
    <row r="628" spans="1:9" s="189" customFormat="1">
      <c r="A628" s="187">
        <v>576</v>
      </c>
      <c r="B628" s="222">
        <v>46020</v>
      </c>
      <c r="C628" s="221">
        <v>124.84708129042058</v>
      </c>
      <c r="D628" s="221">
        <v>105.05542662095111</v>
      </c>
      <c r="E628" s="221">
        <f t="shared" ref="E628:E691" si="40">IF(C628&lt;D628,C628,D628)</f>
        <v>105.05542662095111</v>
      </c>
      <c r="F628" s="188" t="str">
        <f t="shared" ref="F628:F691" si="41">IF(DAY(B628)=1,600,"")</f>
        <v/>
      </c>
      <c r="G628" t="str">
        <f t="shared" si="38"/>
        <v/>
      </c>
      <c r="H628" s="188" t="str">
        <f t="shared" si="39"/>
        <v/>
      </c>
    </row>
    <row r="629" spans="1:9" s="189" customFormat="1">
      <c r="A629" s="187">
        <v>577</v>
      </c>
      <c r="B629" s="222">
        <v>46021</v>
      </c>
      <c r="C629" s="221">
        <v>119.42508281842059</v>
      </c>
      <c r="D629" s="221">
        <v>105.05542662095111</v>
      </c>
      <c r="E629" s="221">
        <f t="shared" si="40"/>
        <v>105.05542662095111</v>
      </c>
      <c r="F629" s="188" t="str">
        <f t="shared" si="41"/>
        <v/>
      </c>
      <c r="G629" t="str">
        <f t="shared" si="38"/>
        <v/>
      </c>
      <c r="H629" s="188" t="str">
        <f t="shared" si="39"/>
        <v/>
      </c>
    </row>
    <row r="630" spans="1:9" s="189" customFormat="1">
      <c r="A630" s="187">
        <v>578</v>
      </c>
      <c r="B630" s="222">
        <v>46022</v>
      </c>
      <c r="C630" s="221">
        <v>79.836942209111058</v>
      </c>
      <c r="D630" s="221">
        <v>105.05542662095111</v>
      </c>
      <c r="E630" s="221">
        <f t="shared" si="40"/>
        <v>79.836942209111058</v>
      </c>
      <c r="F630" s="188" t="str">
        <f t="shared" si="41"/>
        <v/>
      </c>
      <c r="G630" t="str">
        <f t="shared" ref="G630:G693" si="42">IF(MONTH(B630)=1,IF(DAY(B630)=1,YEAR(B630),""),"")</f>
        <v/>
      </c>
      <c r="H630" s="188" t="str">
        <f t="shared" si="39"/>
        <v/>
      </c>
    </row>
    <row r="631" spans="1:9" s="189" customFormat="1">
      <c r="A631" s="187">
        <v>579</v>
      </c>
      <c r="B631" s="222">
        <v>46023</v>
      </c>
      <c r="C631" s="221">
        <v>49.870291197114781</v>
      </c>
      <c r="D631" s="221">
        <v>122.79275785238266</v>
      </c>
      <c r="E631" s="221">
        <f t="shared" si="40"/>
        <v>49.870291197114781</v>
      </c>
      <c r="F631" s="188">
        <f t="shared" si="41"/>
        <v>600</v>
      </c>
      <c r="G631">
        <f t="shared" si="42"/>
        <v>2026</v>
      </c>
      <c r="H631" s="188" t="str">
        <f t="shared" si="39"/>
        <v/>
      </c>
    </row>
    <row r="632" spans="1:9" s="189" customFormat="1">
      <c r="A632" s="187">
        <v>580</v>
      </c>
      <c r="B632" s="222">
        <v>46024</v>
      </c>
      <c r="C632" s="221">
        <v>80.033253186111068</v>
      </c>
      <c r="D632" s="221">
        <v>122.79275785238266</v>
      </c>
      <c r="E632" s="221">
        <f t="shared" si="40"/>
        <v>80.033253186111068</v>
      </c>
      <c r="F632" s="188" t="str">
        <f t="shared" si="41"/>
        <v/>
      </c>
      <c r="G632" t="str">
        <f t="shared" si="42"/>
        <v/>
      </c>
      <c r="H632" s="188" t="str">
        <f t="shared" si="39"/>
        <v/>
      </c>
    </row>
    <row r="633" spans="1:9" s="189" customFormat="1">
      <c r="A633" s="187">
        <v>581</v>
      </c>
      <c r="B633" s="222">
        <v>46025</v>
      </c>
      <c r="C633" s="221">
        <v>75.034860076112921</v>
      </c>
      <c r="D633" s="221">
        <v>122.79275785238266</v>
      </c>
      <c r="E633" s="221">
        <f t="shared" si="40"/>
        <v>75.034860076112921</v>
      </c>
      <c r="F633" s="188" t="str">
        <f t="shared" si="41"/>
        <v/>
      </c>
      <c r="G633" t="str">
        <f t="shared" si="42"/>
        <v/>
      </c>
      <c r="H633" s="188" t="str">
        <f t="shared" si="39"/>
        <v/>
      </c>
    </row>
    <row r="634" spans="1:9" s="189" customFormat="1">
      <c r="A634" s="187">
        <v>582</v>
      </c>
      <c r="B634" s="222">
        <v>46026</v>
      </c>
      <c r="C634" s="221">
        <v>32.101209589112919</v>
      </c>
      <c r="D634" s="221">
        <v>122.79275785238266</v>
      </c>
      <c r="E634" s="221">
        <f t="shared" si="40"/>
        <v>32.101209589112919</v>
      </c>
      <c r="F634" s="188" t="str">
        <f t="shared" si="41"/>
        <v/>
      </c>
      <c r="G634" t="str">
        <f t="shared" si="42"/>
        <v/>
      </c>
      <c r="H634" s="188" t="str">
        <f t="shared" si="39"/>
        <v/>
      </c>
    </row>
    <row r="635" spans="1:9" s="189" customFormat="1">
      <c r="A635" s="187">
        <v>583</v>
      </c>
      <c r="B635" s="222">
        <v>46027</v>
      </c>
      <c r="C635" s="221">
        <v>60.380907146111056</v>
      </c>
      <c r="D635" s="221">
        <v>122.79275785238266</v>
      </c>
      <c r="E635" s="221">
        <f t="shared" si="40"/>
        <v>60.380907146111056</v>
      </c>
      <c r="F635" s="188" t="str">
        <f t="shared" si="41"/>
        <v/>
      </c>
      <c r="G635" t="str">
        <f t="shared" si="42"/>
        <v/>
      </c>
      <c r="H635" s="188" t="str">
        <f t="shared" si="39"/>
        <v/>
      </c>
    </row>
    <row r="636" spans="1:9" s="189" customFormat="1">
      <c r="A636" s="187">
        <v>584</v>
      </c>
      <c r="B636" s="222">
        <v>46028</v>
      </c>
      <c r="C636" s="221">
        <v>41.585444585112917</v>
      </c>
      <c r="D636" s="221">
        <v>122.79275785238266</v>
      </c>
      <c r="E636" s="221">
        <f t="shared" si="40"/>
        <v>41.585444585112917</v>
      </c>
      <c r="F636" s="188" t="str">
        <f t="shared" si="41"/>
        <v/>
      </c>
      <c r="G636" t="str">
        <f t="shared" si="42"/>
        <v/>
      </c>
      <c r="H636" s="188" t="str">
        <f t="shared" si="39"/>
        <v/>
      </c>
    </row>
    <row r="637" spans="1:9" s="189" customFormat="1">
      <c r="A637" s="187">
        <v>585</v>
      </c>
      <c r="B637" s="222">
        <v>46029</v>
      </c>
      <c r="C637" s="221">
        <v>102.27748833755247</v>
      </c>
      <c r="D637" s="221">
        <v>122.79275785238266</v>
      </c>
      <c r="E637" s="221">
        <f t="shared" si="40"/>
        <v>102.27748833755247</v>
      </c>
      <c r="F637" s="188" t="str">
        <f t="shared" si="41"/>
        <v/>
      </c>
      <c r="G637" t="str">
        <f t="shared" si="42"/>
        <v/>
      </c>
      <c r="H637" s="188" t="str">
        <f t="shared" si="39"/>
        <v/>
      </c>
    </row>
    <row r="638" spans="1:9" s="189" customFormat="1">
      <c r="A638" s="187">
        <v>586</v>
      </c>
      <c r="B638" s="222">
        <v>46030</v>
      </c>
      <c r="C638" s="221">
        <v>93.32257986254875</v>
      </c>
      <c r="D638" s="221">
        <v>122.79275785238266</v>
      </c>
      <c r="E638" s="221">
        <f t="shared" si="40"/>
        <v>93.32257986254875</v>
      </c>
      <c r="F638" s="188" t="str">
        <f t="shared" si="41"/>
        <v/>
      </c>
      <c r="G638" t="str">
        <f t="shared" si="42"/>
        <v/>
      </c>
      <c r="H638" s="188" t="str">
        <f t="shared" si="39"/>
        <v/>
      </c>
    </row>
    <row r="639" spans="1:9">
      <c r="A639" s="187">
        <v>587</v>
      </c>
      <c r="B639" s="222">
        <v>46031</v>
      </c>
      <c r="C639" s="221">
        <v>51.194949078552469</v>
      </c>
      <c r="D639" s="221">
        <v>122.79275785238266</v>
      </c>
      <c r="E639" s="221">
        <f t="shared" si="40"/>
        <v>51.194949078552469</v>
      </c>
      <c r="F639" s="188" t="str">
        <f t="shared" si="41"/>
        <v/>
      </c>
      <c r="G639" t="str">
        <f t="shared" si="42"/>
        <v/>
      </c>
      <c r="H639" s="188" t="str">
        <f t="shared" si="39"/>
        <v/>
      </c>
      <c r="I639" s="189"/>
    </row>
    <row r="640" spans="1:9">
      <c r="A640" s="187">
        <v>588</v>
      </c>
      <c r="B640" s="222">
        <v>46032</v>
      </c>
      <c r="C640" s="221">
        <v>62.69774962254688</v>
      </c>
      <c r="D640" s="221">
        <v>122.79275785238266</v>
      </c>
      <c r="E640" s="221">
        <f t="shared" si="40"/>
        <v>62.69774962254688</v>
      </c>
      <c r="F640" s="188" t="str">
        <f t="shared" si="41"/>
        <v/>
      </c>
      <c r="G640" t="str">
        <f t="shared" si="42"/>
        <v/>
      </c>
      <c r="H640" s="188" t="str">
        <f t="shared" si="39"/>
        <v/>
      </c>
      <c r="I640" s="189"/>
    </row>
    <row r="641" spans="1:9">
      <c r="A641" s="187">
        <v>589</v>
      </c>
      <c r="B641" s="222">
        <v>46033</v>
      </c>
      <c r="C641" s="221">
        <v>70.225215734552478</v>
      </c>
      <c r="D641" s="221">
        <v>122.79275785238266</v>
      </c>
      <c r="E641" s="221">
        <f t="shared" si="40"/>
        <v>70.225215734552478</v>
      </c>
      <c r="F641" s="188" t="str">
        <f t="shared" si="41"/>
        <v/>
      </c>
      <c r="G641" t="str">
        <f t="shared" si="42"/>
        <v/>
      </c>
      <c r="H641" s="188" t="str">
        <f t="shared" si="39"/>
        <v/>
      </c>
      <c r="I641" s="189"/>
    </row>
    <row r="642" spans="1:9">
      <c r="A642" s="187">
        <v>590</v>
      </c>
      <c r="B642" s="222">
        <v>46034</v>
      </c>
      <c r="C642" s="221">
        <v>88.13688702655061</v>
      </c>
      <c r="D642" s="221">
        <v>122.79275785238266</v>
      </c>
      <c r="E642" s="221">
        <f t="shared" si="40"/>
        <v>88.13688702655061</v>
      </c>
      <c r="F642" s="188" t="str">
        <f t="shared" si="41"/>
        <v/>
      </c>
      <c r="G642" t="str">
        <f t="shared" si="42"/>
        <v/>
      </c>
      <c r="H642" s="188" t="str">
        <f t="shared" si="39"/>
        <v/>
      </c>
      <c r="I642" s="189"/>
    </row>
    <row r="643" spans="1:9">
      <c r="A643" s="187">
        <v>591</v>
      </c>
      <c r="B643" s="222">
        <v>46035</v>
      </c>
      <c r="C643" s="221">
        <v>112.95177166655061</v>
      </c>
      <c r="D643" s="221">
        <v>122.79275785238266</v>
      </c>
      <c r="E643" s="221">
        <f t="shared" si="40"/>
        <v>112.95177166655061</v>
      </c>
      <c r="F643" s="188" t="str">
        <f t="shared" si="41"/>
        <v/>
      </c>
      <c r="G643" t="str">
        <f t="shared" si="42"/>
        <v/>
      </c>
      <c r="H643" s="188" t="str">
        <f t="shared" ref="H643:H705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I643" s="189"/>
    </row>
    <row r="644" spans="1:9">
      <c r="A644" s="187">
        <v>592</v>
      </c>
      <c r="B644" s="222">
        <v>46036</v>
      </c>
      <c r="C644" s="221">
        <v>126.12410806662145</v>
      </c>
      <c r="D644" s="221">
        <v>122.79275785238266</v>
      </c>
      <c r="E644" s="221">
        <f t="shared" si="40"/>
        <v>122.79275785238266</v>
      </c>
      <c r="F644" s="188" t="str">
        <f t="shared" si="41"/>
        <v/>
      </c>
      <c r="G644" t="str">
        <f t="shared" si="42"/>
        <v/>
      </c>
      <c r="H644" s="188" t="str">
        <f t="shared" si="43"/>
        <v/>
      </c>
      <c r="I644" s="189"/>
    </row>
    <row r="645" spans="1:9">
      <c r="A645" s="187">
        <v>593</v>
      </c>
      <c r="B645" s="222">
        <v>46037</v>
      </c>
      <c r="C645" s="221">
        <v>97.014344129623311</v>
      </c>
      <c r="D645" s="221">
        <v>122.79275785238266</v>
      </c>
      <c r="E645" s="221">
        <f t="shared" si="40"/>
        <v>97.014344129623311</v>
      </c>
      <c r="F645" s="188" t="str">
        <f t="shared" si="41"/>
        <v/>
      </c>
      <c r="G645" t="str">
        <f t="shared" si="42"/>
        <v/>
      </c>
      <c r="H645" s="188" t="str">
        <f>IF(DAY(B645)=15,IF(MONTH(B645)=1,"E",IF(MONTH(B645)=2,"F",IF(MONTH(B645)=3,"M",IF(MONTH(B645)=4,"A",IF(MONTH(B645)=5,"M",IF(MONTH(B645)=6,"J",IF(MONTH(B645)=7,"J",IF(MONTH(B645)=8,"A",IF(MONTH(B645)=9,"S",IF(MONTH(B645)=10,"O",IF(MONTH(B645)=11,"N",IF(MONTH(B645)=12,"D","")))))))))))),"")</f>
        <v>E</v>
      </c>
      <c r="I645" s="189">
        <f>IF(DAY(B645)=15,D645,"")</f>
        <v>122.79275785238266</v>
      </c>
    </row>
    <row r="646" spans="1:9">
      <c r="A646" s="187">
        <v>594</v>
      </c>
      <c r="B646" s="222">
        <v>46038</v>
      </c>
      <c r="C646" s="221">
        <v>116.28581086862145</v>
      </c>
      <c r="D646" s="221">
        <v>122.79275785238266</v>
      </c>
      <c r="E646" s="221">
        <f t="shared" si="40"/>
        <v>116.28581086862145</v>
      </c>
      <c r="F646" s="188" t="str">
        <f t="shared" si="41"/>
        <v/>
      </c>
      <c r="G646" t="str">
        <f t="shared" si="42"/>
        <v/>
      </c>
      <c r="H646" s="188" t="str">
        <f>IF(DAY(B646)=15,IF(MONTH(B646)=1,"E",IF(MONTH(B646)=2,"F",IF(MONTH(B646)=3,"M",IF(MONTH(B646)=4,"A",IF(MONTH(B646)=5,"M",IF(MONTH(B646)=6,"J",IF(MONTH(B646)=7,"J",IF(MONTH(B646)=8,"A",IF(MONTH(B646)=9,"S",IF(MONTH(B646)=10,"O",IF(MONTH(B646)=11,"N",IF(MONTH(B646)=12,"D","")))))))))))),"")</f>
        <v/>
      </c>
      <c r="I646" s="189"/>
    </row>
    <row r="647" spans="1:9">
      <c r="A647" s="187">
        <v>595</v>
      </c>
      <c r="B647" s="222">
        <v>46039</v>
      </c>
      <c r="C647" s="221">
        <v>114.88151747762332</v>
      </c>
      <c r="D647" s="221">
        <v>122.79275785238266</v>
      </c>
      <c r="E647" s="221">
        <f t="shared" si="40"/>
        <v>114.88151747762332</v>
      </c>
      <c r="F647" s="188" t="str">
        <f t="shared" si="41"/>
        <v/>
      </c>
      <c r="G647" t="str">
        <f t="shared" si="42"/>
        <v/>
      </c>
      <c r="H647" s="188" t="str">
        <f t="shared" si="43"/>
        <v/>
      </c>
      <c r="I647" s="189"/>
    </row>
    <row r="648" spans="1:9">
      <c r="A648" s="187">
        <v>596</v>
      </c>
      <c r="B648" s="222">
        <v>46040</v>
      </c>
      <c r="C648" s="221">
        <v>99.930858625623316</v>
      </c>
      <c r="D648" s="221">
        <v>122.79275785238266</v>
      </c>
      <c r="E648" s="221">
        <f t="shared" si="40"/>
        <v>99.930858625623316</v>
      </c>
      <c r="F648" s="188" t="str">
        <f t="shared" si="41"/>
        <v/>
      </c>
      <c r="G648" t="str">
        <f t="shared" si="42"/>
        <v/>
      </c>
      <c r="H648" s="188" t="str">
        <f t="shared" si="43"/>
        <v/>
      </c>
      <c r="I648" s="189"/>
    </row>
    <row r="649" spans="1:9">
      <c r="A649" s="187">
        <v>597</v>
      </c>
      <c r="B649" s="222">
        <v>46041</v>
      </c>
      <c r="C649" s="221">
        <v>115.47489228162145</v>
      </c>
      <c r="D649" s="221">
        <v>122.79275785238266</v>
      </c>
      <c r="E649" s="221">
        <f t="shared" si="40"/>
        <v>115.47489228162145</v>
      </c>
      <c r="F649" s="188" t="str">
        <f t="shared" si="41"/>
        <v/>
      </c>
      <c r="G649" t="str">
        <f t="shared" si="42"/>
        <v/>
      </c>
      <c r="H649" s="188" t="str">
        <f t="shared" si="43"/>
        <v/>
      </c>
      <c r="I649" s="189"/>
    </row>
    <row r="650" spans="1:9">
      <c r="A650" s="187">
        <v>598</v>
      </c>
      <c r="B650" s="222">
        <v>46042</v>
      </c>
      <c r="C650" s="221">
        <v>112.43340331362332</v>
      </c>
      <c r="D650" s="221">
        <v>122.79275785238266</v>
      </c>
      <c r="E650" s="221">
        <f t="shared" si="40"/>
        <v>112.43340331362332</v>
      </c>
      <c r="F650" s="188" t="str">
        <f t="shared" si="41"/>
        <v/>
      </c>
      <c r="G650" t="str">
        <f t="shared" si="42"/>
        <v/>
      </c>
      <c r="H650" s="188" t="str">
        <f t="shared" si="43"/>
        <v/>
      </c>
      <c r="I650" s="189"/>
    </row>
    <row r="651" spans="1:9">
      <c r="A651" s="187">
        <v>599</v>
      </c>
      <c r="B651" s="222">
        <v>46043</v>
      </c>
      <c r="C651" s="221">
        <v>154.98277861356513</v>
      </c>
      <c r="D651" s="221">
        <v>122.79275785238266</v>
      </c>
      <c r="E651" s="221">
        <f t="shared" si="40"/>
        <v>122.79275785238266</v>
      </c>
      <c r="F651" s="188" t="str">
        <f t="shared" si="41"/>
        <v/>
      </c>
      <c r="G651" t="str">
        <f t="shared" si="42"/>
        <v/>
      </c>
      <c r="H651" s="188" t="str">
        <f t="shared" si="43"/>
        <v/>
      </c>
      <c r="I651" s="189"/>
    </row>
    <row r="652" spans="1:9">
      <c r="A652" s="187">
        <v>600</v>
      </c>
      <c r="B652" s="222">
        <v>46044</v>
      </c>
      <c r="C652" s="221">
        <v>139.20819501356701</v>
      </c>
      <c r="D652" s="221">
        <v>122.79275785238266</v>
      </c>
      <c r="E652" s="221">
        <f t="shared" si="40"/>
        <v>122.79275785238266</v>
      </c>
      <c r="F652" s="188" t="str">
        <f t="shared" si="41"/>
        <v/>
      </c>
      <c r="G652" t="str">
        <f t="shared" si="42"/>
        <v/>
      </c>
      <c r="H652" s="188" t="str">
        <f t="shared" si="43"/>
        <v/>
      </c>
      <c r="I652" s="189"/>
    </row>
    <row r="653" spans="1:9">
      <c r="A653" s="187">
        <v>601</v>
      </c>
      <c r="B653" s="222">
        <v>46045</v>
      </c>
      <c r="C653" s="221">
        <v>144.47434795756516</v>
      </c>
      <c r="D653" s="221">
        <v>122.79275785238266</v>
      </c>
      <c r="E653" s="221">
        <f t="shared" si="40"/>
        <v>122.79275785238266</v>
      </c>
      <c r="F653" s="188" t="str">
        <f t="shared" si="41"/>
        <v/>
      </c>
      <c r="G653" t="str">
        <f t="shared" si="42"/>
        <v/>
      </c>
      <c r="H653" s="188" t="str">
        <f t="shared" si="43"/>
        <v/>
      </c>
      <c r="I653" s="189"/>
    </row>
    <row r="654" spans="1:9">
      <c r="A654" s="187">
        <v>602</v>
      </c>
      <c r="B654" s="222">
        <v>46046</v>
      </c>
      <c r="C654" s="221">
        <v>132.12615336156514</v>
      </c>
      <c r="D654" s="221">
        <v>122.79275785238266</v>
      </c>
      <c r="E654" s="221">
        <f t="shared" si="40"/>
        <v>122.79275785238266</v>
      </c>
      <c r="F654" s="188" t="str">
        <f t="shared" si="41"/>
        <v/>
      </c>
      <c r="G654" t="str">
        <f t="shared" si="42"/>
        <v/>
      </c>
      <c r="H654" s="188" t="str">
        <f t="shared" si="43"/>
        <v/>
      </c>
      <c r="I654" s="189"/>
    </row>
    <row r="655" spans="1:9" s="189" customFormat="1">
      <c r="A655" s="187">
        <v>603</v>
      </c>
      <c r="B655" s="222">
        <v>46047</v>
      </c>
      <c r="C655" s="221">
        <v>112.54498642556703</v>
      </c>
      <c r="D655" s="221">
        <v>122.79275785238266</v>
      </c>
      <c r="E655" s="221">
        <f t="shared" si="40"/>
        <v>112.54498642556703</v>
      </c>
      <c r="F655" s="188" t="str">
        <f t="shared" si="41"/>
        <v/>
      </c>
      <c r="G655" t="str">
        <f t="shared" si="42"/>
        <v/>
      </c>
      <c r="H655" s="188" t="str">
        <f t="shared" si="43"/>
        <v/>
      </c>
    </row>
    <row r="656" spans="1:9" s="189" customFormat="1">
      <c r="A656" s="187">
        <v>604</v>
      </c>
      <c r="B656" s="222">
        <v>46048</v>
      </c>
      <c r="C656" s="221">
        <v>142.68211148156516</v>
      </c>
      <c r="D656" s="221">
        <v>122.79275785238266</v>
      </c>
      <c r="E656" s="221">
        <f t="shared" si="40"/>
        <v>122.79275785238266</v>
      </c>
      <c r="F656" s="188" t="str">
        <f t="shared" si="41"/>
        <v/>
      </c>
      <c r="G656" t="str">
        <f t="shared" si="42"/>
        <v/>
      </c>
      <c r="H656" s="188" t="str">
        <f t="shared" si="43"/>
        <v/>
      </c>
    </row>
    <row r="657" spans="1:9" s="189" customFormat="1">
      <c r="A657" s="187">
        <v>605</v>
      </c>
      <c r="B657" s="222">
        <v>46049</v>
      </c>
      <c r="C657" s="221">
        <v>156.63951282956702</v>
      </c>
      <c r="D657" s="221">
        <v>122.79275785238266</v>
      </c>
      <c r="E657" s="221">
        <f t="shared" si="40"/>
        <v>122.79275785238266</v>
      </c>
      <c r="F657" s="188" t="str">
        <f t="shared" si="41"/>
        <v/>
      </c>
      <c r="G657" t="str">
        <f t="shared" si="42"/>
        <v/>
      </c>
      <c r="H657" s="188" t="str">
        <f t="shared" si="43"/>
        <v/>
      </c>
    </row>
    <row r="658" spans="1:9" s="189" customFormat="1">
      <c r="A658" s="187">
        <v>606</v>
      </c>
      <c r="B658" s="222">
        <v>46050</v>
      </c>
      <c r="C658" s="221">
        <v>388.63791610607797</v>
      </c>
      <c r="D658" s="221">
        <v>122.79275785238266</v>
      </c>
      <c r="E658" s="221">
        <f t="shared" si="40"/>
        <v>122.79275785238266</v>
      </c>
      <c r="F658" s="188" t="str">
        <f t="shared" si="41"/>
        <v/>
      </c>
      <c r="G658" t="str">
        <f t="shared" si="42"/>
        <v/>
      </c>
      <c r="H658" s="188" t="str">
        <f t="shared" si="43"/>
        <v/>
      </c>
    </row>
    <row r="659" spans="1:9" s="189" customFormat="1">
      <c r="A659" s="187">
        <v>607</v>
      </c>
      <c r="B659" s="222">
        <v>46051</v>
      </c>
      <c r="C659" s="221">
        <v>383.58711033807424</v>
      </c>
      <c r="D659" s="221">
        <v>122.79275785238266</v>
      </c>
      <c r="E659" s="221">
        <f t="shared" si="40"/>
        <v>122.79275785238266</v>
      </c>
      <c r="F659" s="188" t="str">
        <f t="shared" si="41"/>
        <v/>
      </c>
      <c r="G659" t="str">
        <f t="shared" si="42"/>
        <v/>
      </c>
      <c r="H659" s="188" t="str">
        <f t="shared" si="43"/>
        <v/>
      </c>
    </row>
    <row r="660" spans="1:9" s="189" customFormat="1">
      <c r="A660" s="187">
        <v>608</v>
      </c>
      <c r="B660" s="222">
        <v>46052</v>
      </c>
      <c r="C660" s="221">
        <v>386.74552716207796</v>
      </c>
      <c r="D660" s="221">
        <v>122.79275785238266</v>
      </c>
      <c r="E660" s="221">
        <f t="shared" si="40"/>
        <v>122.79275785238266</v>
      </c>
      <c r="F660" s="188" t="str">
        <f t="shared" si="41"/>
        <v/>
      </c>
      <c r="G660" t="str">
        <f t="shared" si="42"/>
        <v/>
      </c>
      <c r="H660" s="188" t="str">
        <f t="shared" si="43"/>
        <v/>
      </c>
    </row>
    <row r="661" spans="1:9" s="189" customFormat="1">
      <c r="A661" s="187">
        <v>609</v>
      </c>
      <c r="B661" s="222">
        <v>46053</v>
      </c>
      <c r="C661" s="221">
        <v>398.55839159107796</v>
      </c>
      <c r="D661" s="221">
        <v>122.79275785238266</v>
      </c>
      <c r="E661" s="221">
        <f t="shared" si="40"/>
        <v>122.79275785238266</v>
      </c>
      <c r="F661" s="188" t="str">
        <f t="shared" si="41"/>
        <v/>
      </c>
      <c r="G661" t="str">
        <f t="shared" si="42"/>
        <v/>
      </c>
      <c r="H661" s="188" t="str">
        <f t="shared" si="43"/>
        <v/>
      </c>
    </row>
    <row r="662" spans="1:9" s="189" customFormat="1">
      <c r="A662" s="187">
        <v>610</v>
      </c>
      <c r="B662" s="222">
        <v>46054</v>
      </c>
      <c r="C662" s="221">
        <v>404.86547333707608</v>
      </c>
      <c r="D662" s="221">
        <v>130.24536147210011</v>
      </c>
      <c r="E662" s="221">
        <f t="shared" si="40"/>
        <v>130.24536147210011</v>
      </c>
      <c r="F662" s="188">
        <f t="shared" si="41"/>
        <v>600</v>
      </c>
      <c r="G662" t="str">
        <f t="shared" si="42"/>
        <v/>
      </c>
      <c r="H662" s="188" t="str">
        <f t="shared" si="43"/>
        <v/>
      </c>
    </row>
    <row r="663" spans="1:9" s="189" customFormat="1">
      <c r="A663" s="187">
        <v>611</v>
      </c>
      <c r="B663" s="222">
        <v>46055</v>
      </c>
      <c r="C663" s="221">
        <v>415.58760048207608</v>
      </c>
      <c r="D663" s="221">
        <v>130.24536147210011</v>
      </c>
      <c r="E663" s="221">
        <f t="shared" si="40"/>
        <v>130.24536147210011</v>
      </c>
      <c r="F663" s="188" t="str">
        <f t="shared" si="41"/>
        <v/>
      </c>
      <c r="G663" t="str">
        <f t="shared" si="42"/>
        <v/>
      </c>
      <c r="H663" s="188" t="str">
        <f t="shared" si="43"/>
        <v/>
      </c>
    </row>
    <row r="664" spans="1:9" s="189" customFormat="1">
      <c r="A664" s="187">
        <v>612</v>
      </c>
      <c r="B664" s="222">
        <v>46056</v>
      </c>
      <c r="C664" s="221">
        <v>439.19877941807795</v>
      </c>
      <c r="D664" s="221">
        <v>130.24536147210011</v>
      </c>
      <c r="E664" s="221">
        <f t="shared" si="40"/>
        <v>130.24536147210011</v>
      </c>
      <c r="F664" s="188" t="str">
        <f t="shared" si="41"/>
        <v/>
      </c>
      <c r="G664" t="str">
        <f t="shared" si="42"/>
        <v/>
      </c>
      <c r="H664" s="188" t="str">
        <f t="shared" si="43"/>
        <v/>
      </c>
    </row>
    <row r="665" spans="1:9" s="189" customFormat="1">
      <c r="A665" s="187">
        <v>613</v>
      </c>
      <c r="B665" s="222">
        <v>46057</v>
      </c>
      <c r="C665" s="221">
        <v>478.12247028103729</v>
      </c>
      <c r="D665" s="221">
        <v>130.24536147210011</v>
      </c>
      <c r="E665" s="221">
        <f t="shared" si="40"/>
        <v>130.24536147210011</v>
      </c>
      <c r="F665" s="188" t="str">
        <f t="shared" si="41"/>
        <v/>
      </c>
      <c r="G665" t="str">
        <f t="shared" si="42"/>
        <v/>
      </c>
      <c r="H665" s="188" t="str">
        <f t="shared" si="43"/>
        <v/>
      </c>
    </row>
    <row r="666" spans="1:9" s="189" customFormat="1">
      <c r="A666" s="187">
        <v>614</v>
      </c>
      <c r="B666" s="222">
        <v>46058</v>
      </c>
      <c r="C666" s="221">
        <v>483.39475027304098</v>
      </c>
      <c r="D666" s="221">
        <v>130.24536147210011</v>
      </c>
      <c r="E666" s="221">
        <f t="shared" si="40"/>
        <v>130.24536147210011</v>
      </c>
      <c r="F666" s="188" t="str">
        <f t="shared" si="41"/>
        <v/>
      </c>
      <c r="G666" t="str">
        <f t="shared" si="42"/>
        <v/>
      </c>
      <c r="H666" s="188" t="str">
        <f t="shared" si="43"/>
        <v/>
      </c>
    </row>
    <row r="667" spans="1:9" s="189" customFormat="1">
      <c r="A667" s="187">
        <v>615</v>
      </c>
      <c r="B667" s="222">
        <v>46059</v>
      </c>
      <c r="C667" s="221">
        <v>483.87470685103915</v>
      </c>
      <c r="D667" s="221">
        <v>130.24536147210011</v>
      </c>
      <c r="E667" s="221">
        <f t="shared" si="40"/>
        <v>130.24536147210011</v>
      </c>
      <c r="F667" s="188" t="str">
        <f t="shared" si="41"/>
        <v/>
      </c>
      <c r="G667" t="str">
        <f t="shared" si="42"/>
        <v/>
      </c>
      <c r="H667" s="188" t="str">
        <f t="shared" si="43"/>
        <v/>
      </c>
    </row>
    <row r="668" spans="1:9" s="189" customFormat="1">
      <c r="A668" s="187">
        <v>616</v>
      </c>
      <c r="B668" s="222">
        <v>46060</v>
      </c>
      <c r="C668" s="221">
        <v>493.55933911303913</v>
      </c>
      <c r="D668" s="221">
        <v>130.24536147210011</v>
      </c>
      <c r="E668" s="221">
        <f t="shared" si="40"/>
        <v>130.24536147210011</v>
      </c>
      <c r="F668" s="188" t="str">
        <f t="shared" si="41"/>
        <v/>
      </c>
      <c r="G668" t="str">
        <f t="shared" si="42"/>
        <v/>
      </c>
      <c r="H668" s="188" t="str">
        <f t="shared" si="43"/>
        <v/>
      </c>
    </row>
    <row r="669" spans="1:9" s="189" customFormat="1">
      <c r="A669" s="187">
        <v>617</v>
      </c>
      <c r="B669" s="222">
        <v>46061</v>
      </c>
      <c r="C669" s="221">
        <v>487.75418263304101</v>
      </c>
      <c r="D669" s="221">
        <v>130.24536147210011</v>
      </c>
      <c r="E669" s="221">
        <f t="shared" si="40"/>
        <v>130.24536147210011</v>
      </c>
      <c r="F669" s="188" t="str">
        <f t="shared" si="41"/>
        <v/>
      </c>
      <c r="G669" t="str">
        <f t="shared" si="42"/>
        <v/>
      </c>
      <c r="H669" s="188" t="str">
        <f t="shared" si="43"/>
        <v/>
      </c>
    </row>
    <row r="670" spans="1:9" s="189" customFormat="1">
      <c r="A670" s="187">
        <v>618</v>
      </c>
      <c r="B670" s="222">
        <v>46062</v>
      </c>
      <c r="C670" s="221">
        <v>483.83391857304099</v>
      </c>
      <c r="D670" s="221">
        <v>130.24536147210011</v>
      </c>
      <c r="E670" s="221">
        <f t="shared" si="40"/>
        <v>130.24536147210011</v>
      </c>
      <c r="F670" s="188" t="str">
        <f t="shared" si="41"/>
        <v/>
      </c>
      <c r="G670" t="str">
        <f t="shared" si="42"/>
        <v/>
      </c>
      <c r="H670" s="188" t="str">
        <f t="shared" si="43"/>
        <v/>
      </c>
    </row>
    <row r="671" spans="1:9">
      <c r="A671" s="187">
        <v>619</v>
      </c>
      <c r="B671" s="222">
        <v>46063</v>
      </c>
      <c r="C671" s="221">
        <v>461.58199978903912</v>
      </c>
      <c r="D671" s="221">
        <v>130.24536147210011</v>
      </c>
      <c r="E671" s="221">
        <f t="shared" si="40"/>
        <v>130.24536147210011</v>
      </c>
      <c r="F671" s="188" t="str">
        <f t="shared" si="41"/>
        <v/>
      </c>
      <c r="G671" t="str">
        <f t="shared" si="42"/>
        <v/>
      </c>
      <c r="H671" s="188" t="str">
        <f t="shared" si="43"/>
        <v/>
      </c>
      <c r="I671" s="189"/>
    </row>
    <row r="672" spans="1:9">
      <c r="A672" s="187">
        <v>620</v>
      </c>
      <c r="B672" s="222">
        <v>46064</v>
      </c>
      <c r="C672" s="221">
        <v>334.56652755386722</v>
      </c>
      <c r="D672" s="221">
        <v>130.24536147210011</v>
      </c>
      <c r="E672" s="221">
        <f t="shared" si="40"/>
        <v>130.24536147210011</v>
      </c>
      <c r="F672" s="188" t="str">
        <f t="shared" si="41"/>
        <v/>
      </c>
      <c r="G672" t="str">
        <f t="shared" si="42"/>
        <v/>
      </c>
      <c r="H672" s="188" t="str">
        <f t="shared" si="43"/>
        <v/>
      </c>
      <c r="I672" s="189"/>
    </row>
    <row r="673" spans="1:9">
      <c r="A673" s="187">
        <v>621</v>
      </c>
      <c r="B673" s="222">
        <v>46065</v>
      </c>
      <c r="C673" s="221">
        <v>329.09526858186723</v>
      </c>
      <c r="D673" s="221">
        <v>130.24536147210011</v>
      </c>
      <c r="E673" s="221">
        <f t="shared" si="40"/>
        <v>130.24536147210011</v>
      </c>
      <c r="F673" s="188" t="str">
        <f t="shared" si="41"/>
        <v/>
      </c>
      <c r="G673" t="str">
        <f t="shared" si="42"/>
        <v/>
      </c>
      <c r="H673" s="188" t="str">
        <f t="shared" si="43"/>
        <v/>
      </c>
      <c r="I673" s="189"/>
    </row>
    <row r="674" spans="1:9">
      <c r="A674" s="187">
        <v>622</v>
      </c>
      <c r="B674" s="222">
        <v>46066</v>
      </c>
      <c r="C674" s="221">
        <v>331.14615158186723</v>
      </c>
      <c r="D674" s="221">
        <v>130.24536147210011</v>
      </c>
      <c r="E674" s="221">
        <f t="shared" si="40"/>
        <v>130.24536147210011</v>
      </c>
      <c r="F674" s="188" t="str">
        <f t="shared" si="41"/>
        <v/>
      </c>
      <c r="G674" t="str">
        <f t="shared" si="42"/>
        <v/>
      </c>
      <c r="H674" s="188" t="str">
        <f>IF(DAY(B674)=15,IF(MONTH(B674)=1,"E",IF(MONTH(B674)=2,"F",IF(MONTH(B674)=3,"M",IF(MONTH(B674)=4,"A",IF(MONTH(B674)=5,"M",IF(MONTH(B674)=6,"J",IF(MONTH(B674)=7,"J",IF(MONTH(B674)=8,"A",IF(MONTH(B674)=9,"S",IF(MONTH(B674)=10,"O",IF(MONTH(B674)=11,"N",IF(MONTH(B674)=12,"D","")))))))))))),"")</f>
        <v/>
      </c>
      <c r="I674" s="189"/>
    </row>
    <row r="675" spans="1:9">
      <c r="A675" s="187">
        <v>623</v>
      </c>
      <c r="B675" s="222">
        <v>46067</v>
      </c>
      <c r="C675" s="221">
        <v>316.04521436186911</v>
      </c>
      <c r="D675" s="221">
        <v>130.24536147210011</v>
      </c>
      <c r="E675" s="221">
        <f t="shared" si="40"/>
        <v>130.24536147210011</v>
      </c>
      <c r="F675" s="188" t="str">
        <f t="shared" si="41"/>
        <v/>
      </c>
      <c r="G675" t="str">
        <f t="shared" si="42"/>
        <v/>
      </c>
      <c r="H675" s="188" t="str">
        <f>IF(DAY(B675)=15,IF(MONTH(B675)=1,"E",IF(MONTH(B675)=2,"F",IF(MONTH(B675)=3,"M",IF(MONTH(B675)=4,"A",IF(MONTH(B675)=5,"M",IF(MONTH(B675)=6,"J",IF(MONTH(B675)=7,"J",IF(MONTH(B675)=8,"A",IF(MONTH(B675)=9,"S",IF(MONTH(B675)=10,"O",IF(MONTH(B675)=11,"N",IF(MONTH(B675)=12,"D","")))))))))))),"")</f>
        <v/>
      </c>
      <c r="I675" s="189"/>
    </row>
    <row r="676" spans="1:9">
      <c r="A676" s="187">
        <v>624</v>
      </c>
      <c r="B676" s="222">
        <v>46068</v>
      </c>
      <c r="C676" s="221">
        <v>302.0108892018672</v>
      </c>
      <c r="D676" s="221">
        <v>130.24536147210011</v>
      </c>
      <c r="E676" s="221">
        <f t="shared" si="40"/>
        <v>130.24536147210011</v>
      </c>
      <c r="F676" s="188" t="str">
        <f t="shared" si="41"/>
        <v/>
      </c>
      <c r="G676" t="str">
        <f t="shared" si="42"/>
        <v/>
      </c>
      <c r="H676" s="188" t="str">
        <f>IF(DAY(B676)=15,IF(MONTH(B676)=1,"E",IF(MONTH(B676)=2,"F",IF(MONTH(B676)=3,"M",IF(MONTH(B676)=4,"A",IF(MONTH(B676)=5,"M",IF(MONTH(B676)=6,"J",IF(MONTH(B676)=7,"J",IF(MONTH(B676)=8,"A",IF(MONTH(B676)=9,"S",IF(MONTH(B676)=10,"O",IF(MONTH(B676)=11,"N",IF(MONTH(B676)=12,"D","")))))))))))),"")</f>
        <v>F</v>
      </c>
      <c r="I676" s="189">
        <f>IF(DAY(B676)=15,D676,"")</f>
        <v>130.24536147210011</v>
      </c>
    </row>
    <row r="677" spans="1:9">
      <c r="A677" s="187">
        <v>625</v>
      </c>
      <c r="B677" s="222">
        <v>46069</v>
      </c>
      <c r="C677" s="221">
        <v>310.09547972586722</v>
      </c>
      <c r="D677" s="221">
        <v>130.24536147210011</v>
      </c>
      <c r="E677" s="221">
        <f t="shared" si="40"/>
        <v>130.24536147210011</v>
      </c>
      <c r="F677" s="188" t="str">
        <f t="shared" si="41"/>
        <v/>
      </c>
      <c r="G677" t="str">
        <f t="shared" si="42"/>
        <v/>
      </c>
      <c r="H677" s="188" t="str">
        <f>IF(DAY(B677)=15,IF(MONTH(B677)=1,"E",IF(MONTH(B677)=2,"F",IF(MONTH(B677)=3,"M",IF(MONTH(B677)=4,"A",IF(MONTH(B677)=5,"M",IF(MONTH(B677)=6,"J",IF(MONTH(B677)=7,"J",IF(MONTH(B677)=8,"A",IF(MONTH(B677)=9,"S",IF(MONTH(B677)=10,"O",IF(MONTH(B677)=11,"N",IF(MONTH(B677)=12,"D","")))))))))))),"")</f>
        <v/>
      </c>
      <c r="I677" s="189"/>
    </row>
    <row r="678" spans="1:9">
      <c r="A678" s="187">
        <v>626</v>
      </c>
      <c r="B678" s="222">
        <v>46070</v>
      </c>
      <c r="C678" s="221">
        <v>347.49914172986536</v>
      </c>
      <c r="D678" s="221">
        <v>130.24536147210011</v>
      </c>
      <c r="E678" s="221">
        <f t="shared" si="40"/>
        <v>130.24536147210011</v>
      </c>
      <c r="F678" s="188" t="str">
        <f t="shared" si="41"/>
        <v/>
      </c>
      <c r="G678" t="str">
        <f t="shared" si="42"/>
        <v/>
      </c>
      <c r="H678" s="188" t="str">
        <f t="shared" si="43"/>
        <v/>
      </c>
      <c r="I678" s="189"/>
    </row>
    <row r="679" spans="1:9">
      <c r="A679" s="187">
        <v>627</v>
      </c>
      <c r="B679" s="222">
        <v>46071</v>
      </c>
      <c r="C679" s="221">
        <v>213.55671802123098</v>
      </c>
      <c r="D679" s="221">
        <v>130.24536147210011</v>
      </c>
      <c r="E679" s="221">
        <f t="shared" si="40"/>
        <v>130.24536147210011</v>
      </c>
      <c r="F679" s="188" t="str">
        <f t="shared" si="41"/>
        <v/>
      </c>
      <c r="G679" t="str">
        <f t="shared" si="42"/>
        <v/>
      </c>
      <c r="H679" s="188" t="str">
        <f t="shared" si="43"/>
        <v/>
      </c>
      <c r="I679" s="189"/>
    </row>
    <row r="680" spans="1:9">
      <c r="A680" s="187">
        <v>628</v>
      </c>
      <c r="B680" s="222">
        <v>46072</v>
      </c>
      <c r="C680" s="221">
        <v>202.2783359012254</v>
      </c>
      <c r="D680" s="221">
        <v>130.24536147210011</v>
      </c>
      <c r="E680" s="221">
        <f t="shared" si="40"/>
        <v>130.24536147210011</v>
      </c>
      <c r="F680" s="188" t="str">
        <f t="shared" si="41"/>
        <v/>
      </c>
      <c r="G680" t="str">
        <f t="shared" si="42"/>
        <v/>
      </c>
      <c r="H680" s="188" t="str">
        <f t="shared" si="43"/>
        <v/>
      </c>
      <c r="I680" s="189"/>
    </row>
    <row r="681" spans="1:9">
      <c r="A681" s="187">
        <v>629</v>
      </c>
      <c r="B681" s="222">
        <v>46073</v>
      </c>
      <c r="C681" s="221">
        <v>223.62440670523097</v>
      </c>
      <c r="D681" s="221">
        <v>130.24536147210011</v>
      </c>
      <c r="E681" s="221">
        <f t="shared" si="40"/>
        <v>130.24536147210011</v>
      </c>
      <c r="F681" s="188" t="str">
        <f t="shared" si="41"/>
        <v/>
      </c>
      <c r="G681" t="str">
        <f t="shared" si="42"/>
        <v/>
      </c>
      <c r="H681" s="188" t="str">
        <f t="shared" si="43"/>
        <v/>
      </c>
      <c r="I681" s="189"/>
    </row>
    <row r="682" spans="1:9">
      <c r="A682" s="187">
        <v>630</v>
      </c>
      <c r="B682" s="222">
        <v>46074</v>
      </c>
      <c r="C682" s="221">
        <v>226.71188082922725</v>
      </c>
      <c r="D682" s="221">
        <v>130.24536147210011</v>
      </c>
      <c r="E682" s="221">
        <f t="shared" si="40"/>
        <v>130.24536147210011</v>
      </c>
      <c r="F682" s="188" t="str">
        <f t="shared" si="41"/>
        <v/>
      </c>
      <c r="G682" t="str">
        <f t="shared" si="42"/>
        <v/>
      </c>
      <c r="H682" s="188" t="str">
        <f t="shared" si="43"/>
        <v/>
      </c>
      <c r="I682" s="189"/>
    </row>
    <row r="683" spans="1:9">
      <c r="A683" s="187">
        <v>631</v>
      </c>
      <c r="B683" s="222">
        <v>46075</v>
      </c>
      <c r="C683" s="221">
        <v>211.06745927322913</v>
      </c>
      <c r="D683" s="221">
        <v>130.24536147210011</v>
      </c>
      <c r="E683" s="221">
        <f t="shared" si="40"/>
        <v>130.24536147210011</v>
      </c>
      <c r="F683" s="188" t="str">
        <f t="shared" si="41"/>
        <v/>
      </c>
      <c r="G683" t="str">
        <f t="shared" si="42"/>
        <v/>
      </c>
      <c r="H683" s="188" t="str">
        <f t="shared" si="43"/>
        <v/>
      </c>
      <c r="I683" s="189"/>
    </row>
    <row r="684" spans="1:9">
      <c r="A684" s="187">
        <v>632</v>
      </c>
      <c r="B684" s="222">
        <v>46076</v>
      </c>
      <c r="C684" s="221">
        <v>226.81836729723099</v>
      </c>
      <c r="D684" s="221">
        <v>130.24536147210011</v>
      </c>
      <c r="E684" s="221">
        <f t="shared" si="40"/>
        <v>130.24536147210011</v>
      </c>
      <c r="F684" s="188" t="str">
        <f t="shared" si="41"/>
        <v/>
      </c>
      <c r="G684" t="str">
        <f t="shared" si="42"/>
        <v/>
      </c>
      <c r="H684" s="188" t="str">
        <f t="shared" si="43"/>
        <v/>
      </c>
      <c r="I684" s="189"/>
    </row>
    <row r="685" spans="1:9">
      <c r="A685" s="187">
        <v>633</v>
      </c>
      <c r="B685" s="222">
        <v>46077</v>
      </c>
      <c r="C685" s="221">
        <v>231.51146561722538</v>
      </c>
      <c r="D685" s="221">
        <v>130.24536147210011</v>
      </c>
      <c r="E685" s="221">
        <f t="shared" si="40"/>
        <v>130.24536147210011</v>
      </c>
      <c r="F685" s="188" t="str">
        <f t="shared" si="41"/>
        <v/>
      </c>
      <c r="G685" t="str">
        <f t="shared" si="42"/>
        <v/>
      </c>
      <c r="H685" s="188" t="str">
        <f t="shared" si="43"/>
        <v/>
      </c>
      <c r="I685" s="189"/>
    </row>
    <row r="686" spans="1:9">
      <c r="A686" s="187">
        <v>634</v>
      </c>
      <c r="B686" s="222">
        <v>46078</v>
      </c>
      <c r="C686" s="221">
        <v>175.27242705891157</v>
      </c>
      <c r="D686" s="221">
        <v>130.24536147210011</v>
      </c>
      <c r="E686" s="221">
        <f t="shared" si="40"/>
        <v>130.24536147210011</v>
      </c>
      <c r="F686" s="188" t="str">
        <f t="shared" si="41"/>
        <v/>
      </c>
      <c r="G686" t="str">
        <f t="shared" si="42"/>
        <v/>
      </c>
      <c r="H686" s="188" t="str">
        <f t="shared" si="43"/>
        <v/>
      </c>
      <c r="I686" s="189"/>
    </row>
    <row r="687" spans="1:9" s="189" customFormat="1">
      <c r="A687" s="187">
        <v>635</v>
      </c>
      <c r="B687" s="222">
        <v>46079</v>
      </c>
      <c r="C687" s="221">
        <v>159.85450787991158</v>
      </c>
      <c r="D687" s="221">
        <v>130.24536147210011</v>
      </c>
      <c r="E687" s="221">
        <f t="shared" si="40"/>
        <v>130.24536147210011</v>
      </c>
      <c r="F687" s="188" t="str">
        <f t="shared" si="41"/>
        <v/>
      </c>
      <c r="G687" t="str">
        <f t="shared" si="42"/>
        <v/>
      </c>
      <c r="H687" s="188" t="str">
        <f t="shared" si="43"/>
        <v/>
      </c>
    </row>
    <row r="688" spans="1:9" s="189" customFormat="1">
      <c r="A688" s="187">
        <v>636</v>
      </c>
      <c r="B688" s="222">
        <v>46080</v>
      </c>
      <c r="C688" s="221">
        <v>156.97409322990973</v>
      </c>
      <c r="D688" s="221">
        <v>130.24536147210011</v>
      </c>
      <c r="E688" s="221">
        <f t="shared" si="40"/>
        <v>130.24536147210011</v>
      </c>
      <c r="F688" s="188" t="str">
        <f t="shared" si="41"/>
        <v/>
      </c>
      <c r="G688" t="str">
        <f t="shared" si="42"/>
        <v/>
      </c>
      <c r="H688" s="188" t="str">
        <f t="shared" si="43"/>
        <v/>
      </c>
    </row>
    <row r="689" spans="1:9" s="189" customFormat="1">
      <c r="A689" s="187">
        <v>637</v>
      </c>
      <c r="B689" s="222">
        <v>46081</v>
      </c>
      <c r="C689" s="221">
        <v>139.63063275090786</v>
      </c>
      <c r="D689" s="221">
        <v>130.24536147210011</v>
      </c>
      <c r="E689" s="221">
        <f t="shared" si="40"/>
        <v>130.24536147210011</v>
      </c>
      <c r="F689" s="188" t="str">
        <f t="shared" si="41"/>
        <v/>
      </c>
      <c r="G689" t="str">
        <f t="shared" si="42"/>
        <v/>
      </c>
      <c r="H689" s="188" t="str">
        <f t="shared" si="43"/>
        <v/>
      </c>
    </row>
    <row r="690" spans="1:9" s="189" customFormat="1">
      <c r="A690" s="187">
        <v>638</v>
      </c>
      <c r="B690" s="222">
        <v>46082</v>
      </c>
      <c r="C690" s="221">
        <v>145.04988385490972</v>
      </c>
      <c r="D690" s="221">
        <v>137.27594688682913</v>
      </c>
      <c r="E690" s="221">
        <f t="shared" si="40"/>
        <v>137.27594688682913</v>
      </c>
      <c r="F690" s="188">
        <f t="shared" si="41"/>
        <v>600</v>
      </c>
      <c r="G690" t="str">
        <f t="shared" si="42"/>
        <v/>
      </c>
      <c r="H690" s="188" t="str">
        <f t="shared" si="43"/>
        <v/>
      </c>
    </row>
    <row r="691" spans="1:9" s="189" customFormat="1">
      <c r="A691" s="187">
        <v>639</v>
      </c>
      <c r="B691" s="222">
        <v>46083</v>
      </c>
      <c r="C691" s="221">
        <v>135.6930848069116</v>
      </c>
      <c r="D691" s="221">
        <v>137.27594688682913</v>
      </c>
      <c r="E691" s="221">
        <f t="shared" si="40"/>
        <v>135.6930848069116</v>
      </c>
      <c r="F691" s="188" t="str">
        <f t="shared" si="41"/>
        <v/>
      </c>
      <c r="G691" t="str">
        <f t="shared" si="42"/>
        <v/>
      </c>
      <c r="H691" s="188" t="str">
        <f t="shared" si="43"/>
        <v/>
      </c>
    </row>
    <row r="692" spans="1:9" s="189" customFormat="1">
      <c r="A692" s="187">
        <v>640</v>
      </c>
      <c r="B692" s="222">
        <v>46084</v>
      </c>
      <c r="C692" s="221">
        <v>188.0857849639097</v>
      </c>
      <c r="D692" s="221">
        <v>137.27594688682913</v>
      </c>
      <c r="E692" s="221">
        <f t="shared" ref="E692:E755" si="44">IF(C692&lt;D692,C692,D692)</f>
        <v>137.27594688682913</v>
      </c>
      <c r="F692" s="188" t="str">
        <f t="shared" ref="F692:F755" si="45">IF(DAY(B692)=1,600,"")</f>
        <v/>
      </c>
      <c r="G692" t="str">
        <f t="shared" si="42"/>
        <v/>
      </c>
      <c r="H692" s="188" t="str">
        <f t="shared" si="43"/>
        <v/>
      </c>
    </row>
    <row r="693" spans="1:9" s="189" customFormat="1">
      <c r="A693" s="187">
        <v>641</v>
      </c>
      <c r="B693" s="222">
        <v>46085</v>
      </c>
      <c r="C693" s="221">
        <v>179.33539994043255</v>
      </c>
      <c r="D693" s="221">
        <v>137.27594688682913</v>
      </c>
      <c r="E693" s="221">
        <f t="shared" si="44"/>
        <v>137.27594688682913</v>
      </c>
      <c r="F693" s="188" t="str">
        <f t="shared" si="45"/>
        <v/>
      </c>
      <c r="G693" t="str">
        <f t="shared" si="42"/>
        <v/>
      </c>
      <c r="H693" s="188" t="str">
        <f t="shared" si="43"/>
        <v/>
      </c>
    </row>
    <row r="694" spans="1:9" s="189" customFormat="1">
      <c r="A694" s="187">
        <v>642</v>
      </c>
      <c r="B694" s="222">
        <v>46086</v>
      </c>
      <c r="C694" s="221">
        <v>182.62127593343439</v>
      </c>
      <c r="D694" s="221">
        <v>137.27594688682913</v>
      </c>
      <c r="E694" s="221">
        <f t="shared" si="44"/>
        <v>137.27594688682913</v>
      </c>
      <c r="F694" s="188" t="str">
        <f t="shared" si="45"/>
        <v/>
      </c>
      <c r="G694" t="str">
        <f t="shared" ref="G694:G757" si="46">IF(MONTH(B694)=1,IF(DAY(B694)=1,YEAR(B694),""),"")</f>
        <v/>
      </c>
      <c r="H694" s="188" t="str">
        <f t="shared" si="43"/>
        <v/>
      </c>
    </row>
    <row r="695" spans="1:9" s="189" customFormat="1">
      <c r="A695" s="187">
        <v>643</v>
      </c>
      <c r="B695" s="222">
        <v>46087</v>
      </c>
      <c r="C695" s="221">
        <v>166.47430448143066</v>
      </c>
      <c r="D695" s="221">
        <v>137.27594688682913</v>
      </c>
      <c r="E695" s="221">
        <f t="shared" si="44"/>
        <v>137.27594688682913</v>
      </c>
      <c r="F695" s="188" t="str">
        <f t="shared" si="45"/>
        <v/>
      </c>
      <c r="G695" t="str">
        <f t="shared" si="46"/>
        <v/>
      </c>
      <c r="H695" s="188" t="str">
        <f t="shared" si="43"/>
        <v/>
      </c>
    </row>
    <row r="696" spans="1:9" s="189" customFormat="1">
      <c r="A696" s="187">
        <v>644</v>
      </c>
      <c r="B696" s="222">
        <v>46088</v>
      </c>
      <c r="C696" s="221">
        <v>161.51808291343625</v>
      </c>
      <c r="D696" s="221">
        <v>137.27594688682913</v>
      </c>
      <c r="E696" s="221">
        <f t="shared" si="44"/>
        <v>137.27594688682913</v>
      </c>
      <c r="F696" s="188" t="str">
        <f t="shared" si="45"/>
        <v/>
      </c>
      <c r="G696" t="str">
        <f t="shared" si="46"/>
        <v/>
      </c>
      <c r="H696" s="188" t="str">
        <f t="shared" si="43"/>
        <v/>
      </c>
    </row>
    <row r="697" spans="1:9" s="189" customFormat="1">
      <c r="A697" s="187">
        <v>645</v>
      </c>
      <c r="B697" s="222">
        <v>46089</v>
      </c>
      <c r="C697" s="221">
        <v>157.48765902243065</v>
      </c>
      <c r="D697" s="221">
        <v>137.27594688682913</v>
      </c>
      <c r="E697" s="221">
        <f t="shared" si="44"/>
        <v>137.27594688682913</v>
      </c>
      <c r="F697" s="188" t="str">
        <f t="shared" si="45"/>
        <v/>
      </c>
      <c r="G697" t="str">
        <f t="shared" si="46"/>
        <v/>
      </c>
      <c r="H697" s="188" t="str">
        <f t="shared" si="43"/>
        <v/>
      </c>
    </row>
    <row r="698" spans="1:9" s="189" customFormat="1">
      <c r="A698" s="187">
        <v>646</v>
      </c>
      <c r="B698" s="222">
        <v>46090</v>
      </c>
      <c r="C698" s="221">
        <v>175.84599191343437</v>
      </c>
      <c r="D698" s="221">
        <v>137.27594688682913</v>
      </c>
      <c r="E698" s="221">
        <f t="shared" si="44"/>
        <v>137.27594688682913</v>
      </c>
      <c r="F698" s="188" t="str">
        <f t="shared" si="45"/>
        <v/>
      </c>
      <c r="G698" t="str">
        <f t="shared" si="46"/>
        <v/>
      </c>
      <c r="H698" s="188" t="str">
        <f t="shared" si="43"/>
        <v/>
      </c>
    </row>
    <row r="699" spans="1:9" s="189" customFormat="1">
      <c r="A699" s="187">
        <v>647</v>
      </c>
      <c r="B699" s="222">
        <v>46091</v>
      </c>
      <c r="C699" s="221">
        <v>170.88447220543441</v>
      </c>
      <c r="D699" s="221">
        <v>137.27594688682913</v>
      </c>
      <c r="E699" s="221">
        <f t="shared" si="44"/>
        <v>137.27594688682913</v>
      </c>
      <c r="F699" s="188" t="str">
        <f t="shared" si="45"/>
        <v/>
      </c>
      <c r="G699" t="str">
        <f t="shared" si="46"/>
        <v/>
      </c>
      <c r="H699" s="188" t="str">
        <f t="shared" si="43"/>
        <v/>
      </c>
    </row>
    <row r="700" spans="1:9" s="189" customFormat="1">
      <c r="A700" s="187">
        <v>648</v>
      </c>
      <c r="B700" s="222">
        <v>46092</v>
      </c>
      <c r="C700" s="221">
        <v>185.12149557487723</v>
      </c>
      <c r="D700" s="221">
        <v>137.27594688682913</v>
      </c>
      <c r="E700" s="221">
        <f t="shared" si="44"/>
        <v>137.27594688682913</v>
      </c>
      <c r="F700" s="188" t="str">
        <f t="shared" si="45"/>
        <v/>
      </c>
      <c r="G700" t="str">
        <f t="shared" si="46"/>
        <v/>
      </c>
      <c r="H700" s="188" t="str">
        <f t="shared" si="43"/>
        <v/>
      </c>
    </row>
    <row r="701" spans="1:9" s="189" customFormat="1">
      <c r="A701" s="187">
        <v>649</v>
      </c>
      <c r="B701" s="222">
        <v>46093</v>
      </c>
      <c r="C701" s="221">
        <v>172.51988901688094</v>
      </c>
      <c r="D701" s="221">
        <v>137.27594688682913</v>
      </c>
      <c r="E701" s="221">
        <f t="shared" si="44"/>
        <v>137.27594688682913</v>
      </c>
      <c r="F701" s="188" t="str">
        <f t="shared" si="45"/>
        <v/>
      </c>
      <c r="G701" t="str">
        <f t="shared" si="46"/>
        <v/>
      </c>
      <c r="H701" s="188" t="str">
        <f t="shared" si="43"/>
        <v/>
      </c>
    </row>
    <row r="702" spans="1:9" s="189" customFormat="1">
      <c r="A702" s="187">
        <v>650</v>
      </c>
      <c r="B702" s="222">
        <v>46094</v>
      </c>
      <c r="C702" s="221">
        <v>146.43581160087723</v>
      </c>
      <c r="D702" s="221">
        <v>137.27594688682913</v>
      </c>
      <c r="E702" s="221">
        <f t="shared" si="44"/>
        <v>137.27594688682913</v>
      </c>
      <c r="F702" s="188" t="str">
        <f t="shared" si="45"/>
        <v/>
      </c>
      <c r="G702" t="str">
        <f t="shared" si="46"/>
        <v/>
      </c>
      <c r="H702" s="188" t="str">
        <f t="shared" si="43"/>
        <v/>
      </c>
    </row>
    <row r="703" spans="1:9">
      <c r="A703" s="187">
        <v>651</v>
      </c>
      <c r="B703" s="222">
        <v>46095</v>
      </c>
      <c r="C703" s="221">
        <v>114.44261998187723</v>
      </c>
      <c r="D703" s="221">
        <v>137.27594688682913</v>
      </c>
      <c r="E703" s="221">
        <f t="shared" si="44"/>
        <v>114.44261998187723</v>
      </c>
      <c r="F703" s="188" t="str">
        <f t="shared" si="45"/>
        <v/>
      </c>
      <c r="G703" t="str">
        <f t="shared" si="46"/>
        <v/>
      </c>
      <c r="H703" s="188" t="str">
        <f t="shared" si="43"/>
        <v/>
      </c>
      <c r="I703" s="189"/>
    </row>
    <row r="704" spans="1:9">
      <c r="A704" s="187">
        <v>652</v>
      </c>
      <c r="B704" s="222">
        <v>46096</v>
      </c>
      <c r="C704" s="221">
        <v>100.62032380187722</v>
      </c>
      <c r="D704" s="221">
        <v>137.27594688682913</v>
      </c>
      <c r="E704" s="221">
        <f t="shared" si="44"/>
        <v>100.62032380187722</v>
      </c>
      <c r="F704" s="188" t="str">
        <f t="shared" si="45"/>
        <v/>
      </c>
      <c r="G704" t="str">
        <f t="shared" si="46"/>
        <v/>
      </c>
      <c r="H704" s="188" t="str">
        <f>IF(DAY(B704)=15,IF(MONTH(B704)=1,"E",IF(MONTH(B704)=2,"F",IF(MONTH(B704)=3,"M",IF(MONTH(B704)=4,"A",IF(MONTH(B704)=5,"M",IF(MONTH(B704)=6,"J",IF(MONTH(B704)=7,"J",IF(MONTH(B704)=8,"A",IF(MONTH(B704)=9,"S",IF(MONTH(B704)=10,"O",IF(MONTH(B704)=11,"N",IF(MONTH(B704)=12,"D","")))))))))))),"")</f>
        <v>M</v>
      </c>
      <c r="I704" s="189">
        <f>IF(DAY(B704)=15,D704,"")</f>
        <v>137.27594688682913</v>
      </c>
    </row>
    <row r="705" spans="1:9">
      <c r="A705" s="187">
        <v>653</v>
      </c>
      <c r="B705" s="222">
        <v>46097</v>
      </c>
      <c r="C705" s="221">
        <v>137.06542471387908</v>
      </c>
      <c r="D705" s="221">
        <v>137.27594688682913</v>
      </c>
      <c r="E705" s="221">
        <f t="shared" si="44"/>
        <v>137.06542471387908</v>
      </c>
      <c r="F705" s="188" t="str">
        <f t="shared" si="45"/>
        <v/>
      </c>
      <c r="G705" t="str">
        <f t="shared" si="46"/>
        <v/>
      </c>
      <c r="H705" s="188" t="str">
        <f t="shared" si="43"/>
        <v/>
      </c>
      <c r="I705" s="189"/>
    </row>
    <row r="706" spans="1:9">
      <c r="A706" s="187">
        <v>654</v>
      </c>
      <c r="B706" s="222">
        <v>46098</v>
      </c>
      <c r="C706" s="221">
        <v>151.85324682987908</v>
      </c>
      <c r="D706" s="221">
        <v>137.27594688682913</v>
      </c>
      <c r="E706" s="221">
        <f t="shared" si="44"/>
        <v>137.27594688682913</v>
      </c>
      <c r="F706" s="188" t="str">
        <f t="shared" si="45"/>
        <v/>
      </c>
      <c r="G706" t="str">
        <f t="shared" si="46"/>
        <v/>
      </c>
      <c r="H706" s="188" t="str">
        <f>IF(DAY(B706)=15,IF(MONTH(B706)=1,"E",IF(MONTH(B706)=2,"F",IF(MONTH(B706)=3,"M",IF(MONTH(B706)=4,"A",IF(MONTH(B706)=5,"M",IF(MONTH(B706)=6,"J",IF(MONTH(B706)=7,"J",IF(MONTH(B706)=8,"A",IF(MONTH(B706)=9,"S",IF(MONTH(B706)=10,"O",IF(MONTH(B706)=11,"N",IF(MONTH(B706)=12,"D","")))))))))))),"")</f>
        <v/>
      </c>
      <c r="I706" s="189"/>
    </row>
    <row r="707" spans="1:9">
      <c r="A707" s="187">
        <v>655</v>
      </c>
      <c r="B707" s="222">
        <v>46099</v>
      </c>
      <c r="C707" s="221">
        <v>140.58984365155317</v>
      </c>
      <c r="D707" s="221">
        <v>137.27594688682913</v>
      </c>
      <c r="E707" s="221">
        <f t="shared" si="44"/>
        <v>137.27594688682913</v>
      </c>
      <c r="F707" s="188" t="str">
        <f t="shared" si="45"/>
        <v/>
      </c>
      <c r="G707" t="str">
        <f t="shared" si="46"/>
        <v/>
      </c>
      <c r="H707" s="188" t="str">
        <f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I707" s="189"/>
    </row>
    <row r="708" spans="1:9">
      <c r="A708" s="187">
        <v>656</v>
      </c>
      <c r="B708" s="222">
        <v>46100</v>
      </c>
      <c r="C708" s="221">
        <v>119.39261836855691</v>
      </c>
      <c r="D708" s="221">
        <v>137.27594688682913</v>
      </c>
      <c r="E708" s="221">
        <f t="shared" si="44"/>
        <v>119.39261836855691</v>
      </c>
      <c r="F708" s="188" t="str">
        <f t="shared" si="45"/>
        <v/>
      </c>
      <c r="G708" t="str">
        <f t="shared" si="46"/>
        <v/>
      </c>
      <c r="H708" s="188" t="str">
        <f t="shared" ref="H708:H770" si="47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I708" s="189"/>
    </row>
    <row r="709" spans="1:9">
      <c r="A709" s="187">
        <v>657</v>
      </c>
      <c r="B709" s="222">
        <v>46101</v>
      </c>
      <c r="C709" s="221">
        <v>157.99740078655691</v>
      </c>
      <c r="D709" s="221">
        <v>137.27594688682913</v>
      </c>
      <c r="E709" s="221">
        <f t="shared" si="44"/>
        <v>137.27594688682913</v>
      </c>
      <c r="F709" s="188" t="str">
        <f t="shared" si="45"/>
        <v/>
      </c>
      <c r="G709" t="str">
        <f t="shared" si="46"/>
        <v/>
      </c>
      <c r="H709" s="188" t="str">
        <f t="shared" si="47"/>
        <v/>
      </c>
      <c r="I709" s="189"/>
    </row>
    <row r="710" spans="1:9">
      <c r="A710" s="187">
        <v>658</v>
      </c>
      <c r="B710" s="222">
        <v>46102</v>
      </c>
      <c r="C710" s="221">
        <v>155.40672913955504</v>
      </c>
      <c r="D710" s="221">
        <v>137.27594688682913</v>
      </c>
      <c r="E710" s="221">
        <f t="shared" si="44"/>
        <v>137.27594688682913</v>
      </c>
      <c r="F710" s="188" t="str">
        <f t="shared" si="45"/>
        <v/>
      </c>
      <c r="G710" t="str">
        <f t="shared" si="46"/>
        <v/>
      </c>
      <c r="H710" s="188" t="str">
        <f t="shared" si="47"/>
        <v/>
      </c>
      <c r="I710" s="189"/>
    </row>
    <row r="711" spans="1:9">
      <c r="A711" s="187">
        <v>659</v>
      </c>
      <c r="B711" s="222">
        <v>46103</v>
      </c>
      <c r="C711" s="221">
        <v>122.88213651255319</v>
      </c>
      <c r="D711" s="221">
        <v>137.27594688682913</v>
      </c>
      <c r="E711" s="221">
        <f t="shared" si="44"/>
        <v>122.88213651255319</v>
      </c>
      <c r="F711" s="188" t="str">
        <f t="shared" si="45"/>
        <v/>
      </c>
      <c r="G711" t="str">
        <f t="shared" si="46"/>
        <v/>
      </c>
      <c r="H711" s="188" t="str">
        <f t="shared" si="47"/>
        <v/>
      </c>
      <c r="I711" s="189"/>
    </row>
    <row r="712" spans="1:9">
      <c r="A712" s="187">
        <v>660</v>
      </c>
      <c r="B712" s="222">
        <v>46104</v>
      </c>
      <c r="C712" s="221">
        <v>118.93367184655506</v>
      </c>
      <c r="D712" s="221">
        <v>137.27594688682913</v>
      </c>
      <c r="E712" s="221">
        <f t="shared" si="44"/>
        <v>118.93367184655506</v>
      </c>
      <c r="F712" s="188" t="str">
        <f t="shared" si="45"/>
        <v/>
      </c>
      <c r="G712" t="str">
        <f t="shared" si="46"/>
        <v/>
      </c>
      <c r="H712" s="188" t="str">
        <f t="shared" si="47"/>
        <v/>
      </c>
      <c r="I712" s="189"/>
    </row>
    <row r="713" spans="1:9">
      <c r="A713" s="187">
        <v>661</v>
      </c>
      <c r="B713" s="222">
        <v>46105</v>
      </c>
      <c r="C713" s="221">
        <v>132.99573611155503</v>
      </c>
      <c r="D713" s="221">
        <v>137.27594688682913</v>
      </c>
      <c r="E713" s="221">
        <f t="shared" si="44"/>
        <v>132.99573611155503</v>
      </c>
      <c r="F713" s="188" t="str">
        <f t="shared" si="45"/>
        <v/>
      </c>
      <c r="G713" t="str">
        <f t="shared" si="46"/>
        <v/>
      </c>
      <c r="H713" s="188" t="str">
        <f t="shared" si="47"/>
        <v/>
      </c>
      <c r="I713" s="189"/>
    </row>
    <row r="714" spans="1:9">
      <c r="A714" s="187">
        <v>662</v>
      </c>
      <c r="B714" s="222">
        <v>46106</v>
      </c>
      <c r="C714" s="221">
        <v>106.76487909682987</v>
      </c>
      <c r="D714" s="221">
        <v>137.27594688682913</v>
      </c>
      <c r="E714" s="221">
        <f t="shared" si="44"/>
        <v>106.76487909682987</v>
      </c>
      <c r="F714" s="188" t="str">
        <f t="shared" si="45"/>
        <v/>
      </c>
      <c r="G714" t="str">
        <f t="shared" si="46"/>
        <v/>
      </c>
      <c r="H714" s="188" t="str">
        <f t="shared" si="47"/>
        <v/>
      </c>
      <c r="I714" s="189"/>
    </row>
    <row r="715" spans="1:9">
      <c r="A715" s="187">
        <v>663</v>
      </c>
      <c r="B715" s="222">
        <v>46107</v>
      </c>
      <c r="C715" s="221">
        <v>71.280996678833603</v>
      </c>
      <c r="D715" s="221">
        <v>137.27594688682913</v>
      </c>
      <c r="E715" s="221">
        <f t="shared" si="44"/>
        <v>71.280996678833603</v>
      </c>
      <c r="F715" s="188" t="str">
        <f t="shared" si="45"/>
        <v/>
      </c>
      <c r="G715" t="str">
        <f t="shared" si="46"/>
        <v/>
      </c>
      <c r="H715" s="188" t="str">
        <f t="shared" si="47"/>
        <v/>
      </c>
      <c r="I715" s="189"/>
    </row>
    <row r="716" spans="1:9">
      <c r="A716" s="187">
        <v>664</v>
      </c>
      <c r="B716" s="222">
        <v>46108</v>
      </c>
      <c r="C716" s="221">
        <v>69.412602800831735</v>
      </c>
      <c r="D716" s="221">
        <v>137.27594688682913</v>
      </c>
      <c r="E716" s="221">
        <f t="shared" si="44"/>
        <v>69.412602800831735</v>
      </c>
      <c r="F716" s="188" t="str">
        <f t="shared" si="45"/>
        <v/>
      </c>
      <c r="G716" t="str">
        <f t="shared" si="46"/>
        <v/>
      </c>
      <c r="H716" s="188" t="str">
        <f t="shared" si="47"/>
        <v/>
      </c>
      <c r="I716" s="189"/>
    </row>
    <row r="717" spans="1:9">
      <c r="A717" s="187">
        <v>665</v>
      </c>
      <c r="B717" s="222">
        <v>46109</v>
      </c>
      <c r="C717" s="221">
        <v>48.286059842829879</v>
      </c>
      <c r="D717" s="221">
        <v>137.27594688682913</v>
      </c>
      <c r="E717" s="221">
        <f t="shared" si="44"/>
        <v>48.286059842829879</v>
      </c>
      <c r="F717" s="188" t="str">
        <f t="shared" si="45"/>
        <v/>
      </c>
      <c r="G717" t="str">
        <f t="shared" si="46"/>
        <v/>
      </c>
      <c r="H717" s="188" t="str">
        <f t="shared" si="47"/>
        <v/>
      </c>
      <c r="I717" s="189"/>
    </row>
    <row r="718" spans="1:9">
      <c r="A718" s="187">
        <v>666</v>
      </c>
      <c r="B718" s="222">
        <v>46110</v>
      </c>
      <c r="C718" s="221">
        <v>48.756009019831737</v>
      </c>
      <c r="D718" s="221">
        <v>137.27594688682913</v>
      </c>
      <c r="E718" s="221">
        <f t="shared" si="44"/>
        <v>48.756009019831737</v>
      </c>
      <c r="F718" s="188" t="str">
        <f t="shared" si="45"/>
        <v/>
      </c>
      <c r="G718" t="str">
        <f t="shared" si="46"/>
        <v/>
      </c>
      <c r="H718" s="188" t="str">
        <f t="shared" si="47"/>
        <v/>
      </c>
      <c r="I718" s="189"/>
    </row>
    <row r="719" spans="1:9">
      <c r="A719" s="187">
        <v>667</v>
      </c>
      <c r="B719" s="222">
        <v>46111</v>
      </c>
      <c r="C719" s="221">
        <v>69.654697420828015</v>
      </c>
      <c r="D719" s="221">
        <v>137.27594688682913</v>
      </c>
      <c r="E719" s="221">
        <f t="shared" si="44"/>
        <v>69.654697420828015</v>
      </c>
      <c r="F719" s="188" t="str">
        <f t="shared" si="45"/>
        <v/>
      </c>
      <c r="G719" t="str">
        <f t="shared" si="46"/>
        <v/>
      </c>
      <c r="H719" s="188" t="str">
        <f t="shared" si="47"/>
        <v/>
      </c>
      <c r="I719" s="189"/>
    </row>
    <row r="720" spans="1:9">
      <c r="A720" s="187">
        <v>668</v>
      </c>
      <c r="B720" s="222">
        <v>46112</v>
      </c>
      <c r="C720" s="221">
        <v>60.100409236831737</v>
      </c>
      <c r="D720" s="221">
        <v>137.27594688682913</v>
      </c>
      <c r="E720" s="221">
        <f t="shared" si="44"/>
        <v>60.100409236831737</v>
      </c>
      <c r="F720" s="188" t="str">
        <f t="shared" si="45"/>
        <v/>
      </c>
      <c r="G720" t="str">
        <f t="shared" si="46"/>
        <v/>
      </c>
      <c r="H720" s="188" t="str">
        <f t="shared" si="47"/>
        <v/>
      </c>
      <c r="I720" s="189"/>
    </row>
    <row r="721" spans="1:9">
      <c r="A721" s="187">
        <v>669</v>
      </c>
      <c r="B721" s="222">
        <v>46113</v>
      </c>
      <c r="C721" s="221">
        <v>90.954410886125189</v>
      </c>
      <c r="D721" s="221">
        <v>127.74862877812576</v>
      </c>
      <c r="E721" s="221">
        <f t="shared" si="44"/>
        <v>90.954410886125189</v>
      </c>
      <c r="F721" s="188">
        <f t="shared" si="45"/>
        <v>600</v>
      </c>
      <c r="G721" t="str">
        <f t="shared" si="46"/>
        <v/>
      </c>
      <c r="H721" s="188" t="str">
        <f t="shared" si="47"/>
        <v/>
      </c>
      <c r="I721" s="189"/>
    </row>
    <row r="722" spans="1:9">
      <c r="A722" s="187">
        <v>670</v>
      </c>
      <c r="B722" s="222">
        <v>46114</v>
      </c>
      <c r="C722" s="221">
        <v>82.548418672123347</v>
      </c>
      <c r="D722" s="221">
        <v>127.74862877812576</v>
      </c>
      <c r="E722" s="221">
        <f t="shared" si="44"/>
        <v>82.548418672123347</v>
      </c>
      <c r="F722" s="188" t="str">
        <f t="shared" si="45"/>
        <v/>
      </c>
      <c r="G722" t="str">
        <f t="shared" si="46"/>
        <v/>
      </c>
      <c r="H722" s="188" t="str">
        <f t="shared" si="47"/>
        <v/>
      </c>
      <c r="I722" s="189"/>
    </row>
    <row r="723" spans="1:9">
      <c r="A723" s="187">
        <v>671</v>
      </c>
      <c r="B723" s="222">
        <v>46115</v>
      </c>
      <c r="C723" s="221">
        <v>92.920710942121474</v>
      </c>
      <c r="D723" s="221">
        <v>127.74862877812576</v>
      </c>
      <c r="E723" s="221">
        <f t="shared" si="44"/>
        <v>92.920710942121474</v>
      </c>
      <c r="F723" s="188" t="str">
        <f t="shared" si="45"/>
        <v/>
      </c>
      <c r="G723" t="str">
        <f t="shared" si="46"/>
        <v/>
      </c>
      <c r="H723" s="188" t="str">
        <f t="shared" si="47"/>
        <v/>
      </c>
      <c r="I723" s="189"/>
    </row>
    <row r="724" spans="1:9">
      <c r="A724" s="187">
        <v>672</v>
      </c>
      <c r="B724" s="222">
        <v>46116</v>
      </c>
      <c r="C724" s="221">
        <v>94.420891944121465</v>
      </c>
      <c r="D724" s="221">
        <v>127.74862877812576</v>
      </c>
      <c r="E724" s="221">
        <f t="shared" si="44"/>
        <v>94.420891944121465</v>
      </c>
      <c r="F724" s="188" t="str">
        <f t="shared" si="45"/>
        <v/>
      </c>
      <c r="G724" t="str">
        <f t="shared" si="46"/>
        <v/>
      </c>
      <c r="H724" s="188" t="str">
        <f t="shared" si="47"/>
        <v/>
      </c>
      <c r="I724" s="189"/>
    </row>
    <row r="725" spans="1:9">
      <c r="A725" s="187">
        <v>673</v>
      </c>
      <c r="B725" s="222">
        <v>46117</v>
      </c>
      <c r="C725" s="221">
        <v>95.678114066123342</v>
      </c>
      <c r="D725" s="221">
        <v>127.74862877812576</v>
      </c>
      <c r="E725" s="221">
        <f t="shared" si="44"/>
        <v>95.678114066123342</v>
      </c>
      <c r="F725" s="188" t="str">
        <f t="shared" si="45"/>
        <v/>
      </c>
      <c r="G725" t="str">
        <f t="shared" si="46"/>
        <v/>
      </c>
      <c r="H725" s="188" t="str">
        <f t="shared" si="47"/>
        <v/>
      </c>
      <c r="I725" s="189"/>
    </row>
    <row r="726" spans="1:9">
      <c r="A726" s="187">
        <v>674</v>
      </c>
      <c r="B726" s="222">
        <v>46118</v>
      </c>
      <c r="C726" s="221">
        <v>90.481906112125188</v>
      </c>
      <c r="D726" s="221">
        <v>127.74862877812576</v>
      </c>
      <c r="E726" s="221">
        <f t="shared" si="44"/>
        <v>90.481906112125188</v>
      </c>
      <c r="F726" s="188" t="str">
        <f t="shared" si="45"/>
        <v/>
      </c>
      <c r="G726" t="str">
        <f t="shared" si="46"/>
        <v/>
      </c>
      <c r="H726" s="188" t="str">
        <f t="shared" si="47"/>
        <v/>
      </c>
      <c r="I726" s="189"/>
    </row>
    <row r="727" spans="1:9">
      <c r="A727" s="187">
        <v>675</v>
      </c>
      <c r="B727" s="222">
        <v>46119</v>
      </c>
      <c r="C727" s="221">
        <v>120.59630407412146</v>
      </c>
      <c r="D727" s="221">
        <v>127.74862877812576</v>
      </c>
      <c r="E727" s="221">
        <f t="shared" si="44"/>
        <v>120.59630407412146</v>
      </c>
      <c r="F727" s="188" t="str">
        <f t="shared" si="45"/>
        <v/>
      </c>
      <c r="G727" t="str">
        <f t="shared" si="46"/>
        <v/>
      </c>
      <c r="H727" s="188" t="str">
        <f t="shared" si="47"/>
        <v/>
      </c>
      <c r="I727" s="189"/>
    </row>
    <row r="728" spans="1:9">
      <c r="A728" s="187">
        <v>676</v>
      </c>
      <c r="B728" s="222">
        <v>46120</v>
      </c>
      <c r="C728" s="221">
        <v>127.43163898759407</v>
      </c>
      <c r="D728" s="221">
        <v>127.74862877812576</v>
      </c>
      <c r="E728" s="221">
        <f t="shared" si="44"/>
        <v>127.43163898759407</v>
      </c>
      <c r="F728" s="188" t="str">
        <f t="shared" si="45"/>
        <v/>
      </c>
      <c r="G728" t="str">
        <f t="shared" si="46"/>
        <v/>
      </c>
      <c r="H728" s="188" t="str">
        <f t="shared" si="47"/>
        <v/>
      </c>
      <c r="I728" s="189"/>
    </row>
    <row r="729" spans="1:9">
      <c r="A729" s="187">
        <v>677</v>
      </c>
      <c r="B729" s="222">
        <v>46121</v>
      </c>
      <c r="C729" s="221">
        <v>119.47021666159593</v>
      </c>
      <c r="D729" s="221">
        <v>127.74862877812576</v>
      </c>
      <c r="E729" s="221">
        <f t="shared" si="44"/>
        <v>119.47021666159593</v>
      </c>
      <c r="F729" s="188" t="str">
        <f t="shared" si="45"/>
        <v/>
      </c>
      <c r="G729" t="str">
        <f t="shared" si="46"/>
        <v/>
      </c>
      <c r="H729" s="188" t="str">
        <f t="shared" si="47"/>
        <v/>
      </c>
      <c r="I729" s="189"/>
    </row>
    <row r="730" spans="1:9">
      <c r="A730" s="187">
        <v>678</v>
      </c>
      <c r="B730" s="222">
        <v>46122</v>
      </c>
      <c r="C730" s="221">
        <v>103.56574747959593</v>
      </c>
      <c r="D730" s="221">
        <v>127.74862877812576</v>
      </c>
      <c r="E730" s="221">
        <f t="shared" si="44"/>
        <v>103.56574747959593</v>
      </c>
      <c r="F730" s="188" t="str">
        <f t="shared" si="45"/>
        <v/>
      </c>
      <c r="G730" t="str">
        <f t="shared" si="46"/>
        <v/>
      </c>
      <c r="H730" s="188" t="str">
        <f t="shared" si="47"/>
        <v/>
      </c>
      <c r="I730" s="189"/>
    </row>
    <row r="731" spans="1:9">
      <c r="A731" s="187">
        <v>679</v>
      </c>
      <c r="B731" s="222">
        <v>46123</v>
      </c>
      <c r="C731" s="221">
        <v>78.185238966594071</v>
      </c>
      <c r="D731" s="221">
        <v>127.74862877812576</v>
      </c>
      <c r="E731" s="221">
        <f t="shared" si="44"/>
        <v>78.185238966594071</v>
      </c>
      <c r="F731" s="188" t="str">
        <f t="shared" si="45"/>
        <v/>
      </c>
      <c r="G731" t="str">
        <f t="shared" si="46"/>
        <v/>
      </c>
      <c r="H731" s="188" t="str">
        <f t="shared" si="47"/>
        <v/>
      </c>
      <c r="I731" s="189"/>
    </row>
    <row r="732" spans="1:9">
      <c r="A732" s="187">
        <v>680</v>
      </c>
      <c r="B732" s="222">
        <v>46124</v>
      </c>
      <c r="C732" s="221">
        <v>57.454799726597798</v>
      </c>
      <c r="D732" s="221">
        <v>127.74862877812576</v>
      </c>
      <c r="E732" s="221">
        <f t="shared" si="44"/>
        <v>57.454799726597798</v>
      </c>
      <c r="F732" s="188" t="str">
        <f t="shared" si="45"/>
        <v/>
      </c>
      <c r="G732" t="str">
        <f t="shared" si="46"/>
        <v/>
      </c>
      <c r="H732" s="188" t="str">
        <f t="shared" si="47"/>
        <v/>
      </c>
      <c r="I732" s="189"/>
    </row>
    <row r="733" spans="1:9">
      <c r="A733" s="187">
        <v>681</v>
      </c>
      <c r="B733" s="222">
        <v>46125</v>
      </c>
      <c r="C733" s="221">
        <v>67.208198955594071</v>
      </c>
      <c r="D733" s="221">
        <v>127.74862877812576</v>
      </c>
      <c r="E733" s="221">
        <f t="shared" si="44"/>
        <v>67.208198955594071</v>
      </c>
      <c r="F733" s="188" t="str">
        <f t="shared" si="45"/>
        <v/>
      </c>
      <c r="G733" t="str">
        <f t="shared" si="46"/>
        <v/>
      </c>
      <c r="H733" s="188" t="str">
        <f t="shared" si="47"/>
        <v/>
      </c>
      <c r="I733" s="189"/>
    </row>
    <row r="734" spans="1:9">
      <c r="A734" s="187">
        <v>682</v>
      </c>
      <c r="B734" s="222">
        <v>46126</v>
      </c>
      <c r="C734" s="221">
        <v>88.387972225595931</v>
      </c>
      <c r="D734" s="221">
        <v>127.74862877812576</v>
      </c>
      <c r="E734" s="221">
        <f t="shared" si="44"/>
        <v>88.387972225595931</v>
      </c>
      <c r="F734" s="188" t="str">
        <f t="shared" si="45"/>
        <v/>
      </c>
      <c r="G734" t="str">
        <f t="shared" si="46"/>
        <v/>
      </c>
      <c r="H734" s="188" t="str">
        <f t="shared" si="47"/>
        <v/>
      </c>
      <c r="I734" s="189"/>
    </row>
    <row r="735" spans="1:9">
      <c r="A735" s="187">
        <v>683</v>
      </c>
      <c r="B735" s="222">
        <v>46127</v>
      </c>
      <c r="C735" s="221">
        <v>87.844399155429457</v>
      </c>
      <c r="D735" s="221">
        <v>127.74862877812576</v>
      </c>
      <c r="E735" s="221">
        <f t="shared" si="44"/>
        <v>87.844399155429457</v>
      </c>
      <c r="F735" s="188" t="str">
        <f t="shared" si="45"/>
        <v/>
      </c>
      <c r="G735" t="str">
        <f t="shared" si="46"/>
        <v/>
      </c>
      <c r="H735" s="188" t="str">
        <f>IF(DAY(B735)=15,IF(MONTH(B735)=1,"E",IF(MONTH(B735)=2,"F",IF(MONTH(B735)=3,"M",IF(MONTH(B735)=4,"A",IF(MONTH(B735)=5,"M",IF(MONTH(B735)=6,"J",IF(MONTH(B735)=7,"J",IF(MONTH(B735)=8,"A",IF(MONTH(B735)=9,"S",IF(MONTH(B735)=10,"O",IF(MONTH(B735)=11,"N",IF(MONTH(B735)=12,"D","")))))))))))),"")</f>
        <v>A</v>
      </c>
      <c r="I735" s="189">
        <f>IF(DAY(B735)=15,D735,"")</f>
        <v>127.74862877812576</v>
      </c>
    </row>
    <row r="736" spans="1:9">
      <c r="A736" s="187">
        <v>684</v>
      </c>
      <c r="B736" s="222">
        <v>46128</v>
      </c>
      <c r="C736" s="221">
        <v>93.660145318433194</v>
      </c>
      <c r="D736" s="221">
        <v>127.74862877812576</v>
      </c>
      <c r="E736" s="221">
        <f t="shared" si="44"/>
        <v>93.660145318433194</v>
      </c>
      <c r="F736" s="188" t="str">
        <f t="shared" si="45"/>
        <v/>
      </c>
      <c r="G736" t="str">
        <f t="shared" si="46"/>
        <v/>
      </c>
      <c r="H736" s="188" t="str">
        <f t="shared" si="47"/>
        <v/>
      </c>
      <c r="I736" s="189"/>
    </row>
    <row r="737" spans="1:9">
      <c r="A737" s="187">
        <v>685</v>
      </c>
      <c r="B737" s="222">
        <v>46129</v>
      </c>
      <c r="C737" s="221">
        <v>103.88382140443319</v>
      </c>
      <c r="D737" s="221">
        <v>127.74862877812576</v>
      </c>
      <c r="E737" s="221">
        <f t="shared" si="44"/>
        <v>103.88382140443319</v>
      </c>
      <c r="F737" s="188" t="str">
        <f t="shared" si="45"/>
        <v/>
      </c>
      <c r="G737" t="str">
        <f t="shared" si="46"/>
        <v/>
      </c>
      <c r="H737" s="188" t="str">
        <f>IF(DAY(B737)=15,IF(MONTH(B737)=1,"E",IF(MONTH(B737)=2,"F",IF(MONTH(B737)=3,"M",IF(MONTH(B737)=4,"A",IF(MONTH(B737)=5,"M",IF(MONTH(B737)=6,"J",IF(MONTH(B737)=7,"J",IF(MONTH(B737)=8,"A",IF(MONTH(B737)=9,"S",IF(MONTH(B737)=10,"O",IF(MONTH(B737)=11,"N",IF(MONTH(B737)=12,"D","")))))))))))),"")</f>
        <v/>
      </c>
      <c r="I737" s="189"/>
    </row>
    <row r="738" spans="1:9">
      <c r="A738" s="187">
        <v>686</v>
      </c>
      <c r="B738" s="222">
        <v>46130</v>
      </c>
      <c r="C738" s="221">
        <v>66.35781407942946</v>
      </c>
      <c r="D738" s="221">
        <v>127.74862877812576</v>
      </c>
      <c r="E738" s="221">
        <f t="shared" si="44"/>
        <v>66.35781407942946</v>
      </c>
      <c r="F738" s="188" t="str">
        <f t="shared" si="45"/>
        <v/>
      </c>
      <c r="G738" t="str">
        <f t="shared" si="46"/>
        <v/>
      </c>
      <c r="H738" s="188" t="str">
        <f>IF(DAY(B738)=15,IF(MONTH(B738)=1,"E",IF(MONTH(B738)=2,"F",IF(MONTH(B738)=3,"M",IF(MONTH(B738)=4,"A",IF(MONTH(B738)=5,"M",IF(MONTH(B738)=6,"J",IF(MONTH(B738)=7,"J",IF(MONTH(B738)=8,"A",IF(MONTH(B738)=9,"S",IF(MONTH(B738)=10,"O",IF(MONTH(B738)=11,"N",IF(MONTH(B738)=12,"D","")))))))))))),"")</f>
        <v/>
      </c>
      <c r="I738" s="189"/>
    </row>
    <row r="739" spans="1:9">
      <c r="A739" s="187">
        <v>687</v>
      </c>
      <c r="B739" s="222">
        <v>46131</v>
      </c>
      <c r="C739" s="221">
        <v>46.572328499433191</v>
      </c>
      <c r="D739" s="221">
        <v>127.74862877812576</v>
      </c>
      <c r="E739" s="221">
        <f t="shared" si="44"/>
        <v>46.572328499433191</v>
      </c>
      <c r="F739" s="188" t="str">
        <f t="shared" si="45"/>
        <v/>
      </c>
      <c r="G739" t="str">
        <f t="shared" si="46"/>
        <v/>
      </c>
      <c r="H739" s="188" t="str">
        <f t="shared" si="47"/>
        <v/>
      </c>
      <c r="I739" s="189"/>
    </row>
    <row r="740" spans="1:9">
      <c r="A740" s="187">
        <v>688</v>
      </c>
      <c r="B740" s="222">
        <v>46132</v>
      </c>
      <c r="C740" s="221">
        <v>75.848485748433191</v>
      </c>
      <c r="D740" s="221">
        <v>127.74862877812576</v>
      </c>
      <c r="E740" s="221">
        <f t="shared" si="44"/>
        <v>75.848485748433191</v>
      </c>
      <c r="F740" s="188" t="str">
        <f t="shared" si="45"/>
        <v/>
      </c>
      <c r="G740" t="str">
        <f t="shared" si="46"/>
        <v/>
      </c>
      <c r="H740" s="188" t="str">
        <f t="shared" si="47"/>
        <v/>
      </c>
      <c r="I740" s="189"/>
    </row>
    <row r="741" spans="1:9">
      <c r="A741" s="187">
        <v>689</v>
      </c>
      <c r="B741" s="222">
        <v>46133</v>
      </c>
      <c r="C741" s="221">
        <v>68.827133293431331</v>
      </c>
      <c r="D741" s="221">
        <v>127.74862877812576</v>
      </c>
      <c r="E741" s="221">
        <f t="shared" si="44"/>
        <v>68.827133293431331</v>
      </c>
      <c r="F741" s="188" t="str">
        <f t="shared" si="45"/>
        <v/>
      </c>
      <c r="G741" t="str">
        <f t="shared" si="46"/>
        <v/>
      </c>
      <c r="H741" s="188" t="str">
        <f t="shared" si="47"/>
        <v/>
      </c>
      <c r="I741" s="189"/>
    </row>
    <row r="742" spans="1:9">
      <c r="A742" s="187">
        <v>690</v>
      </c>
      <c r="B742" s="222">
        <v>46134</v>
      </c>
      <c r="C742" s="221">
        <v>78.444099388637326</v>
      </c>
      <c r="D742" s="221">
        <v>127.74862877812576</v>
      </c>
      <c r="E742" s="221">
        <f t="shared" si="44"/>
        <v>78.444099388637326</v>
      </c>
      <c r="F742" s="188" t="str">
        <f t="shared" si="45"/>
        <v/>
      </c>
      <c r="G742" t="str">
        <f t="shared" si="46"/>
        <v/>
      </c>
      <c r="H742" s="188" t="str">
        <f t="shared" si="47"/>
        <v/>
      </c>
      <c r="I742" s="189"/>
    </row>
    <row r="743" spans="1:9">
      <c r="A743" s="187">
        <v>691</v>
      </c>
      <c r="B743" s="222">
        <v>46135</v>
      </c>
      <c r="C743" s="221">
        <v>78.403106478637326</v>
      </c>
      <c r="D743" s="221">
        <v>127.74862877812576</v>
      </c>
      <c r="E743" s="221">
        <f t="shared" si="44"/>
        <v>78.403106478637326</v>
      </c>
      <c r="F743" s="188" t="str">
        <f t="shared" si="45"/>
        <v/>
      </c>
      <c r="G743" t="str">
        <f t="shared" si="46"/>
        <v/>
      </c>
      <c r="H743" s="188" t="str">
        <f t="shared" si="47"/>
        <v/>
      </c>
      <c r="I743" s="189"/>
    </row>
    <row r="744" spans="1:9">
      <c r="A744" s="187">
        <v>692</v>
      </c>
      <c r="B744" s="222">
        <v>46136</v>
      </c>
      <c r="C744" s="221">
        <v>93.719806265639193</v>
      </c>
      <c r="D744" s="221">
        <v>127.74862877812576</v>
      </c>
      <c r="E744" s="221">
        <f t="shared" si="44"/>
        <v>93.719806265639193</v>
      </c>
      <c r="F744" s="188" t="str">
        <f t="shared" si="45"/>
        <v/>
      </c>
      <c r="G744" t="str">
        <f t="shared" si="46"/>
        <v/>
      </c>
      <c r="H744" s="188" t="str">
        <f t="shared" si="47"/>
        <v/>
      </c>
      <c r="I744" s="189"/>
    </row>
    <row r="745" spans="1:9">
      <c r="A745" s="187">
        <v>693</v>
      </c>
      <c r="B745" s="222">
        <v>46137</v>
      </c>
      <c r="C745" s="221">
        <v>74.781610486635472</v>
      </c>
      <c r="D745" s="221">
        <v>127.74862877812576</v>
      </c>
      <c r="E745" s="221">
        <f t="shared" si="44"/>
        <v>74.781610486635472</v>
      </c>
      <c r="F745" s="188" t="str">
        <f t="shared" si="45"/>
        <v/>
      </c>
      <c r="G745" t="str">
        <f t="shared" si="46"/>
        <v/>
      </c>
      <c r="H745" s="188" t="str">
        <f t="shared" si="47"/>
        <v/>
      </c>
      <c r="I745" s="189"/>
    </row>
    <row r="746" spans="1:9">
      <c r="A746" s="187">
        <v>694</v>
      </c>
      <c r="B746" s="222">
        <v>46138</v>
      </c>
      <c r="C746" s="221">
        <v>54.946524059639195</v>
      </c>
      <c r="D746" s="221">
        <v>127.74862877812576</v>
      </c>
      <c r="E746" s="221">
        <f t="shared" si="44"/>
        <v>54.946524059639195</v>
      </c>
      <c r="F746" s="188" t="str">
        <f t="shared" si="45"/>
        <v/>
      </c>
      <c r="G746" t="str">
        <f t="shared" si="46"/>
        <v/>
      </c>
      <c r="H746" s="188" t="str">
        <f t="shared" si="47"/>
        <v/>
      </c>
      <c r="I746" s="189"/>
    </row>
    <row r="747" spans="1:9">
      <c r="A747" s="187">
        <v>695</v>
      </c>
      <c r="B747" s="222">
        <v>46139</v>
      </c>
      <c r="C747" s="221">
        <v>65.856687558637333</v>
      </c>
      <c r="D747" s="221">
        <v>127.74862877812576</v>
      </c>
      <c r="E747" s="221">
        <f t="shared" si="44"/>
        <v>65.856687558637333</v>
      </c>
      <c r="F747" s="188" t="str">
        <f t="shared" si="45"/>
        <v/>
      </c>
      <c r="G747" t="str">
        <f t="shared" si="46"/>
        <v/>
      </c>
      <c r="H747" s="188" t="str">
        <f t="shared" si="47"/>
        <v/>
      </c>
      <c r="I747" s="189"/>
    </row>
    <row r="748" spans="1:9">
      <c r="A748" s="187">
        <v>696</v>
      </c>
      <c r="B748" s="222">
        <v>46140</v>
      </c>
      <c r="C748" s="221">
        <v>70.928353295639198</v>
      </c>
      <c r="D748" s="221">
        <v>127.74862877812576</v>
      </c>
      <c r="E748" s="221">
        <f t="shared" si="44"/>
        <v>70.928353295639198</v>
      </c>
      <c r="F748" s="188" t="str">
        <f t="shared" si="45"/>
        <v/>
      </c>
      <c r="G748" t="str">
        <f t="shared" si="46"/>
        <v/>
      </c>
      <c r="H748" s="188" t="str">
        <f t="shared" si="47"/>
        <v/>
      </c>
      <c r="I748" s="189"/>
    </row>
    <row r="749" spans="1:9">
      <c r="A749" s="187">
        <v>697</v>
      </c>
      <c r="B749" s="222">
        <v>46141</v>
      </c>
      <c r="C749" s="221">
        <v>106.53722492599499</v>
      </c>
      <c r="D749" s="221">
        <v>127.74862877812576</v>
      </c>
      <c r="E749" s="221">
        <f t="shared" si="44"/>
        <v>106.53722492599499</v>
      </c>
      <c r="F749" s="188" t="str">
        <f t="shared" si="45"/>
        <v/>
      </c>
      <c r="G749" t="str">
        <f t="shared" si="46"/>
        <v/>
      </c>
      <c r="H749" s="188" t="str">
        <f t="shared" si="47"/>
        <v/>
      </c>
      <c r="I749" s="189"/>
    </row>
    <row r="750" spans="1:9">
      <c r="A750" s="187">
        <v>698</v>
      </c>
      <c r="B750" s="222">
        <v>46142</v>
      </c>
      <c r="C750" s="221">
        <v>108.04056139800245</v>
      </c>
      <c r="D750" s="221">
        <v>127.74862877812576</v>
      </c>
      <c r="E750" s="221">
        <f t="shared" si="44"/>
        <v>108.04056139800245</v>
      </c>
      <c r="F750" s="188" t="str">
        <f t="shared" si="45"/>
        <v/>
      </c>
      <c r="G750" t="str">
        <f t="shared" si="46"/>
        <v/>
      </c>
      <c r="H750" s="188" t="str">
        <f t="shared" si="47"/>
        <v/>
      </c>
      <c r="I750" s="189"/>
    </row>
    <row r="751" spans="1:9">
      <c r="A751" s="187">
        <v>699</v>
      </c>
      <c r="B751" s="222">
        <v>46143</v>
      </c>
      <c r="C751" s="221">
        <v>86.989402905994993</v>
      </c>
      <c r="D751" s="221">
        <v>96.996337327600401</v>
      </c>
      <c r="E751" s="221">
        <f t="shared" si="44"/>
        <v>86.989402905994993</v>
      </c>
      <c r="F751" s="188">
        <f t="shared" si="45"/>
        <v>600</v>
      </c>
      <c r="G751" t="str">
        <f t="shared" si="46"/>
        <v/>
      </c>
      <c r="H751" s="188" t="str">
        <f t="shared" si="47"/>
        <v/>
      </c>
      <c r="I751" s="189"/>
    </row>
    <row r="752" spans="1:9">
      <c r="A752" s="187">
        <v>700</v>
      </c>
      <c r="B752" s="222">
        <v>46144</v>
      </c>
      <c r="C752" s="221">
        <v>74.728085611996846</v>
      </c>
      <c r="D752" s="221">
        <v>96.996337327600401</v>
      </c>
      <c r="E752" s="221">
        <f t="shared" si="44"/>
        <v>74.728085611996846</v>
      </c>
      <c r="F752" s="188" t="str">
        <f t="shared" si="45"/>
        <v/>
      </c>
      <c r="G752" t="str">
        <f t="shared" si="46"/>
        <v/>
      </c>
      <c r="H752" s="188" t="str">
        <f t="shared" si="47"/>
        <v/>
      </c>
      <c r="I752" s="189"/>
    </row>
    <row r="753" spans="1:9">
      <c r="A753" s="187">
        <v>701</v>
      </c>
      <c r="B753" s="222">
        <v>46145</v>
      </c>
      <c r="C753" s="221">
        <v>80.241866380000587</v>
      </c>
      <c r="D753" s="221">
        <v>96.996337327600401</v>
      </c>
      <c r="E753" s="221">
        <f t="shared" si="44"/>
        <v>80.241866380000587</v>
      </c>
      <c r="F753" s="188" t="str">
        <f t="shared" si="45"/>
        <v/>
      </c>
      <c r="G753" t="str">
        <f t="shared" si="46"/>
        <v/>
      </c>
      <c r="H753" s="188" t="str">
        <f t="shared" si="47"/>
        <v/>
      </c>
      <c r="I753" s="189"/>
    </row>
    <row r="754" spans="1:9">
      <c r="A754" s="187">
        <v>702</v>
      </c>
      <c r="B754" s="222">
        <v>46146</v>
      </c>
      <c r="C754" s="221">
        <v>125.220437346995</v>
      </c>
      <c r="D754" s="221">
        <v>96.996337327600401</v>
      </c>
      <c r="E754" s="221">
        <f t="shared" si="44"/>
        <v>96.996337327600401</v>
      </c>
      <c r="F754" s="188" t="str">
        <f t="shared" si="45"/>
        <v/>
      </c>
      <c r="G754" t="str">
        <f t="shared" si="46"/>
        <v/>
      </c>
      <c r="H754" s="188" t="str">
        <f t="shared" si="47"/>
        <v/>
      </c>
      <c r="I754" s="189"/>
    </row>
    <row r="755" spans="1:9">
      <c r="A755" s="187">
        <v>703</v>
      </c>
      <c r="B755" s="222">
        <v>46147</v>
      </c>
      <c r="C755" s="221">
        <v>112.96538224199873</v>
      </c>
      <c r="D755" s="221">
        <v>96.996337327600401</v>
      </c>
      <c r="E755" s="221">
        <f t="shared" si="44"/>
        <v>96.996337327600401</v>
      </c>
      <c r="F755" s="188" t="str">
        <f t="shared" si="45"/>
        <v/>
      </c>
      <c r="G755" t="str">
        <f t="shared" si="46"/>
        <v/>
      </c>
      <c r="H755" s="188" t="str">
        <f t="shared" si="47"/>
        <v/>
      </c>
      <c r="I755" s="189"/>
    </row>
    <row r="756" spans="1:9">
      <c r="A756" s="187">
        <v>704</v>
      </c>
      <c r="B756" s="222">
        <v>46148</v>
      </c>
      <c r="C756" s="221">
        <v>107.49255053310618</v>
      </c>
      <c r="D756" s="221">
        <v>96.996337327600401</v>
      </c>
      <c r="E756" s="221">
        <f t="shared" ref="E756:E809" si="48">IF(C756&lt;D756,C756,D756)</f>
        <v>96.996337327600401</v>
      </c>
      <c r="F756" s="188" t="str">
        <f t="shared" ref="F756:F810" si="49">IF(DAY(B756)=1,600,"")</f>
        <v/>
      </c>
      <c r="G756" t="str">
        <f t="shared" si="46"/>
        <v/>
      </c>
      <c r="H756" s="188" t="str">
        <f t="shared" si="47"/>
        <v/>
      </c>
      <c r="I756" s="189"/>
    </row>
    <row r="757" spans="1:9">
      <c r="A757" s="187">
        <v>705</v>
      </c>
      <c r="B757" s="222">
        <v>46149</v>
      </c>
      <c r="C757" s="221">
        <v>120.54221656210433</v>
      </c>
      <c r="D757" s="221">
        <v>96.996337327600401</v>
      </c>
      <c r="E757" s="221">
        <f t="shared" si="48"/>
        <v>96.996337327600401</v>
      </c>
      <c r="F757" s="188" t="str">
        <f t="shared" si="49"/>
        <v/>
      </c>
      <c r="G757" t="str">
        <f t="shared" si="46"/>
        <v/>
      </c>
      <c r="H757" s="188" t="str">
        <f t="shared" si="47"/>
        <v/>
      </c>
      <c r="I757" s="189"/>
    </row>
    <row r="758" spans="1:9">
      <c r="A758" s="187">
        <v>706</v>
      </c>
      <c r="B758" s="222">
        <v>46150</v>
      </c>
      <c r="C758" s="221">
        <v>106.39197663910433</v>
      </c>
      <c r="D758" s="221">
        <v>96.996337327600401</v>
      </c>
      <c r="E758" s="221">
        <f t="shared" si="48"/>
        <v>96.996337327600401</v>
      </c>
      <c r="F758" s="188" t="str">
        <f t="shared" si="49"/>
        <v/>
      </c>
      <c r="G758" t="str">
        <f t="shared" ref="G758:G810" si="50">IF(MONTH(B758)=1,IF(DAY(B758)=1,YEAR(B758),""),"")</f>
        <v/>
      </c>
      <c r="H758" s="188" t="str">
        <f t="shared" si="47"/>
        <v/>
      </c>
      <c r="I758" s="189"/>
    </row>
    <row r="759" spans="1:9">
      <c r="A759" s="187">
        <v>707</v>
      </c>
      <c r="B759" s="222">
        <v>46151</v>
      </c>
      <c r="C759" s="221">
        <v>68.77696112110246</v>
      </c>
      <c r="D759" s="221">
        <v>96.996337327600401</v>
      </c>
      <c r="E759" s="221">
        <f t="shared" si="48"/>
        <v>68.77696112110246</v>
      </c>
      <c r="F759" s="188" t="str">
        <f t="shared" si="49"/>
        <v/>
      </c>
      <c r="G759" t="str">
        <f t="shared" si="50"/>
        <v/>
      </c>
      <c r="H759" s="188" t="str">
        <f t="shared" si="47"/>
        <v/>
      </c>
      <c r="I759" s="189"/>
    </row>
    <row r="760" spans="1:9">
      <c r="A760" s="187">
        <v>708</v>
      </c>
      <c r="B760" s="222">
        <v>46152</v>
      </c>
      <c r="C760" s="221">
        <v>60.648677384104317</v>
      </c>
      <c r="D760" s="221">
        <v>96.996337327600401</v>
      </c>
      <c r="E760" s="221">
        <f t="shared" si="48"/>
        <v>60.648677384104317</v>
      </c>
      <c r="F760" s="188" t="str">
        <f t="shared" si="49"/>
        <v/>
      </c>
      <c r="G760" t="str">
        <f t="shared" si="50"/>
        <v/>
      </c>
      <c r="H760" s="188" t="str">
        <f t="shared" si="47"/>
        <v/>
      </c>
      <c r="I760" s="189"/>
    </row>
    <row r="761" spans="1:9">
      <c r="A761" s="187">
        <v>709</v>
      </c>
      <c r="B761" s="222">
        <v>46153</v>
      </c>
      <c r="C761" s="221">
        <v>92.308440412106179</v>
      </c>
      <c r="D761" s="221">
        <v>96.996337327600401</v>
      </c>
      <c r="E761" s="221">
        <f t="shared" si="48"/>
        <v>92.308440412106179</v>
      </c>
      <c r="F761" s="188" t="str">
        <f t="shared" si="49"/>
        <v/>
      </c>
      <c r="G761" t="str">
        <f t="shared" si="50"/>
        <v/>
      </c>
      <c r="H761" s="188" t="str">
        <f t="shared" si="47"/>
        <v/>
      </c>
      <c r="I761" s="189"/>
    </row>
    <row r="762" spans="1:9">
      <c r="A762" s="187">
        <v>710</v>
      </c>
      <c r="B762" s="222">
        <v>46154</v>
      </c>
      <c r="C762" s="221">
        <v>109.53282341110246</v>
      </c>
      <c r="D762" s="221">
        <v>96.996337327600401</v>
      </c>
      <c r="E762" s="221">
        <f t="shared" si="48"/>
        <v>96.996337327600401</v>
      </c>
      <c r="F762" s="188" t="str">
        <f t="shared" si="49"/>
        <v/>
      </c>
      <c r="G762" t="str">
        <f t="shared" si="50"/>
        <v/>
      </c>
      <c r="H762" s="188" t="str">
        <f t="shared" si="47"/>
        <v/>
      </c>
      <c r="I762" s="189"/>
    </row>
    <row r="763" spans="1:9">
      <c r="A763" s="187">
        <v>711</v>
      </c>
      <c r="B763" s="222">
        <v>46155</v>
      </c>
      <c r="C763" s="221">
        <v>93.467609295974626</v>
      </c>
      <c r="D763" s="221">
        <v>96.996337327600401</v>
      </c>
      <c r="E763" s="221">
        <f t="shared" si="48"/>
        <v>93.467609295974626</v>
      </c>
      <c r="F763" s="188" t="str">
        <f t="shared" si="49"/>
        <v/>
      </c>
      <c r="G763" t="str">
        <f t="shared" si="50"/>
        <v/>
      </c>
      <c r="H763" s="188" t="str">
        <f t="shared" si="47"/>
        <v/>
      </c>
      <c r="I763" s="189"/>
    </row>
    <row r="764" spans="1:9">
      <c r="A764" s="187">
        <v>712</v>
      </c>
      <c r="B764" s="222">
        <v>46156</v>
      </c>
      <c r="C764" s="221">
        <v>89.567963126978356</v>
      </c>
      <c r="D764" s="221">
        <v>96.996337327600401</v>
      </c>
      <c r="E764" s="221">
        <f t="shared" si="48"/>
        <v>89.567963126978356</v>
      </c>
      <c r="F764" s="188" t="str">
        <f t="shared" si="49"/>
        <v/>
      </c>
      <c r="G764" t="str">
        <f t="shared" si="50"/>
        <v/>
      </c>
      <c r="H764" s="188" t="str">
        <f t="shared" si="47"/>
        <v/>
      </c>
      <c r="I764" s="189"/>
    </row>
    <row r="765" spans="1:9">
      <c r="A765" s="187">
        <v>713</v>
      </c>
      <c r="B765" s="222">
        <v>46157</v>
      </c>
      <c r="C765" s="221">
        <v>84.343720663974622</v>
      </c>
      <c r="D765" s="221">
        <v>96.996337327600401</v>
      </c>
      <c r="E765" s="221">
        <f t="shared" si="48"/>
        <v>84.343720663974622</v>
      </c>
      <c r="F765" s="188" t="str">
        <f t="shared" si="49"/>
        <v/>
      </c>
      <c r="G765" t="str">
        <f t="shared" si="50"/>
        <v/>
      </c>
      <c r="H765" s="188" t="str">
        <f>IF(DAY(B765)=15,IF(MONTH(B765)=1,"E",IF(MONTH(B765)=2,"F",IF(MONTH(B765)=3,"M",IF(MONTH(B765)=4,"A",IF(MONTH(B765)=5,"M",IF(MONTH(B765)=6,"J",IF(MONTH(B765)=7,"J",IF(MONTH(B765)=8,"A",IF(MONTH(B765)=9,"S",IF(MONTH(B765)=10,"O",IF(MONTH(B765)=11,"N",IF(MONTH(B765)=12,"D","")))))))))))),"")</f>
        <v>M</v>
      </c>
      <c r="I765" s="189">
        <f>IF(DAY(B765)=15,D765,"")</f>
        <v>96.996337327600401</v>
      </c>
    </row>
    <row r="766" spans="1:9">
      <c r="A766" s="187">
        <v>714</v>
      </c>
      <c r="B766" s="222">
        <v>46158</v>
      </c>
      <c r="C766" s="221">
        <v>92.415462039976504</v>
      </c>
      <c r="D766" s="221">
        <v>96.996337327600401</v>
      </c>
      <c r="E766" s="221">
        <f t="shared" si="48"/>
        <v>92.415462039976504</v>
      </c>
      <c r="F766" s="188" t="str">
        <f t="shared" si="49"/>
        <v/>
      </c>
      <c r="G766" t="str">
        <f t="shared" si="50"/>
        <v/>
      </c>
      <c r="H766" s="188" t="str">
        <f>IF(DAY(B766)=15,IF(MONTH(B766)=1,"E",IF(MONTH(B766)=2,"F",IF(MONTH(B766)=3,"M",IF(MONTH(B766)=4,"A",IF(MONTH(B766)=5,"M",IF(MONTH(B766)=6,"J",IF(MONTH(B766)=7,"J",IF(MONTH(B766)=8,"A",IF(MONTH(B766)=9,"S",IF(MONTH(B766)=10,"O",IF(MONTH(B766)=11,"N",IF(MONTH(B766)=12,"D","")))))))))))),"")</f>
        <v/>
      </c>
      <c r="I766" s="189"/>
    </row>
    <row r="767" spans="1:9">
      <c r="A767" s="187">
        <v>715</v>
      </c>
      <c r="B767" s="222">
        <v>46159</v>
      </c>
      <c r="C767" s="221">
        <v>92.76668698797836</v>
      </c>
      <c r="D767" s="221">
        <v>96.996337327600401</v>
      </c>
      <c r="E767" s="221">
        <f t="shared" si="48"/>
        <v>92.76668698797836</v>
      </c>
      <c r="F767" s="188" t="str">
        <f t="shared" si="49"/>
        <v/>
      </c>
      <c r="G767" t="str">
        <f t="shared" si="50"/>
        <v/>
      </c>
      <c r="H767" s="188" t="str">
        <f>IF(DAY(B767)=15,IF(MONTH(B767)=1,"E",IF(MONTH(B767)=2,"F",IF(MONTH(B767)=3,"M",IF(MONTH(B767)=4,"A",IF(MONTH(B767)=5,"M",IF(MONTH(B767)=6,"J",IF(MONTH(B767)=7,"J",IF(MONTH(B767)=8,"A",IF(MONTH(B767)=9,"S",IF(MONTH(B767)=10,"O",IF(MONTH(B767)=11,"N",IF(MONTH(B767)=12,"D","")))))))))))),"")</f>
        <v/>
      </c>
      <c r="I767" s="189"/>
    </row>
    <row r="768" spans="1:9">
      <c r="A768" s="187">
        <v>716</v>
      </c>
      <c r="B768" s="222">
        <v>46160</v>
      </c>
      <c r="C768" s="221">
        <v>107.85507385397651</v>
      </c>
      <c r="D768" s="221">
        <v>96.996337327600401</v>
      </c>
      <c r="E768" s="221">
        <f t="shared" si="48"/>
        <v>96.996337327600401</v>
      </c>
      <c r="F768" s="188" t="str">
        <f t="shared" si="49"/>
        <v/>
      </c>
      <c r="G768" t="str">
        <f t="shared" si="50"/>
        <v/>
      </c>
      <c r="H768" s="188" t="str">
        <f>IF(DAY(B768)=15,IF(MONTH(B768)=1,"E",IF(MONTH(B768)=2,"F",IF(MONTH(B768)=3,"M",IF(MONTH(B768)=4,"A",IF(MONTH(B768)=5,"M",IF(MONTH(B768)=6,"J",IF(MONTH(B768)=7,"J",IF(MONTH(B768)=8,"A",IF(MONTH(B768)=9,"S",IF(MONTH(B768)=10,"O",IF(MONTH(B768)=11,"N",IF(MONTH(B768)=12,"D","")))))))))))),"")</f>
        <v/>
      </c>
      <c r="I768" s="189"/>
    </row>
    <row r="769" spans="1:9">
      <c r="A769" s="187">
        <v>717</v>
      </c>
      <c r="B769" s="222">
        <v>46161</v>
      </c>
      <c r="C769" s="221">
        <v>100.10663924597463</v>
      </c>
      <c r="D769" s="221">
        <v>96.996337327600401</v>
      </c>
      <c r="E769" s="221">
        <f t="shared" si="48"/>
        <v>96.996337327600401</v>
      </c>
      <c r="F769" s="188" t="str">
        <f t="shared" si="49"/>
        <v/>
      </c>
      <c r="G769" t="str">
        <f t="shared" si="50"/>
        <v/>
      </c>
      <c r="H769" s="188" t="str">
        <f>IF(DAY(B769)=15,IF(MONTH(B769)=1,"E",IF(MONTH(B769)=2,"F",IF(MONTH(B769)=3,"M",IF(MONTH(B769)=4,"A",IF(MONTH(B769)=5,"M",IF(MONTH(B769)=6,"J",IF(MONTH(B769)=7,"J",IF(MONTH(B769)=8,"A",IF(MONTH(B769)=9,"S",IF(MONTH(B769)=10,"O",IF(MONTH(B769)=11,"N",IF(MONTH(B769)=12,"D","")))))))))))),"")</f>
        <v/>
      </c>
      <c r="I769" s="189"/>
    </row>
    <row r="770" spans="1:9">
      <c r="A770" s="187">
        <v>718</v>
      </c>
      <c r="B770" s="222">
        <v>46162</v>
      </c>
      <c r="C770" s="221">
        <v>94.574809138787984</v>
      </c>
      <c r="D770" s="221">
        <v>96.996337327600401</v>
      </c>
      <c r="E770" s="221">
        <f t="shared" si="48"/>
        <v>94.574809138787984</v>
      </c>
      <c r="F770" s="188" t="str">
        <f t="shared" si="49"/>
        <v/>
      </c>
      <c r="G770" t="str">
        <f t="shared" si="50"/>
        <v/>
      </c>
      <c r="H770" s="188" t="str">
        <f t="shared" si="47"/>
        <v/>
      </c>
      <c r="I770" s="189"/>
    </row>
    <row r="771" spans="1:9">
      <c r="A771" s="187">
        <v>719</v>
      </c>
      <c r="B771" s="222">
        <v>46163</v>
      </c>
      <c r="C771" s="221">
        <v>88.454457855787993</v>
      </c>
      <c r="D771" s="221">
        <v>96.996337327600401</v>
      </c>
      <c r="E771" s="221">
        <f t="shared" si="48"/>
        <v>88.454457855787993</v>
      </c>
      <c r="F771" s="188" t="str">
        <f t="shared" si="49"/>
        <v/>
      </c>
      <c r="G771" t="str">
        <f t="shared" si="50"/>
        <v/>
      </c>
      <c r="H771" s="188" t="str">
        <f t="shared" ref="H771:H813" si="51">IF(DAY(B771)=15,IF(MONTH(B771)=1,"E",IF(MONTH(B771)=2,"F",IF(MONTH(B771)=3,"M",IF(MONTH(B771)=4,"A",IF(MONTH(B771)=5,"M",IF(MONTH(B771)=6,"J",IF(MONTH(B771)=7,"J",IF(MONTH(B771)=8,"A",IF(MONTH(B771)=9,"S",IF(MONTH(B771)=10,"O",IF(MONTH(B771)=11,"N",IF(MONTH(B771)=12,"D","")))))))))))),"")</f>
        <v/>
      </c>
      <c r="I771" s="189"/>
    </row>
    <row r="772" spans="1:9">
      <c r="A772" s="187">
        <v>720</v>
      </c>
      <c r="B772" s="222">
        <v>46164</v>
      </c>
      <c r="C772" s="221">
        <v>91.71057150578612</v>
      </c>
      <c r="D772" s="221">
        <v>96.996337327600401</v>
      </c>
      <c r="E772" s="221">
        <f t="shared" si="48"/>
        <v>91.71057150578612</v>
      </c>
      <c r="F772" s="188" t="str">
        <f t="shared" si="49"/>
        <v/>
      </c>
      <c r="G772" t="str">
        <f t="shared" si="50"/>
        <v/>
      </c>
      <c r="H772" s="188" t="str">
        <f t="shared" si="51"/>
        <v/>
      </c>
      <c r="I772" s="189"/>
    </row>
    <row r="773" spans="1:9">
      <c r="A773" s="187">
        <v>721</v>
      </c>
      <c r="B773" s="222">
        <v>46165</v>
      </c>
      <c r="C773" s="221">
        <v>73.604161994787987</v>
      </c>
      <c r="D773" s="221">
        <v>96.996337327600401</v>
      </c>
      <c r="E773" s="221">
        <f t="shared" si="48"/>
        <v>73.604161994787987</v>
      </c>
      <c r="F773" s="188" t="str">
        <f t="shared" si="49"/>
        <v/>
      </c>
      <c r="G773" t="str">
        <f t="shared" si="50"/>
        <v/>
      </c>
      <c r="H773" s="188" t="str">
        <f t="shared" si="51"/>
        <v/>
      </c>
      <c r="I773" s="189"/>
    </row>
    <row r="774" spans="1:9">
      <c r="A774" s="187">
        <v>722</v>
      </c>
      <c r="B774" s="222">
        <v>46166</v>
      </c>
      <c r="C774" s="221">
        <v>56.305882014786128</v>
      </c>
      <c r="D774" s="221">
        <v>96.996337327600401</v>
      </c>
      <c r="E774" s="221">
        <f t="shared" si="48"/>
        <v>56.305882014786128</v>
      </c>
      <c r="F774" s="188" t="str">
        <f t="shared" si="49"/>
        <v/>
      </c>
      <c r="G774" t="str">
        <f t="shared" si="50"/>
        <v/>
      </c>
      <c r="H774" s="188" t="str">
        <f t="shared" si="51"/>
        <v/>
      </c>
      <c r="I774" s="189"/>
    </row>
    <row r="775" spans="1:9">
      <c r="A775" s="187">
        <v>723</v>
      </c>
      <c r="B775" s="222">
        <v>46167</v>
      </c>
      <c r="C775" s="221">
        <v>70.335712183787976</v>
      </c>
      <c r="D775" s="221">
        <v>96.996337327600401</v>
      </c>
      <c r="E775" s="221">
        <f t="shared" si="48"/>
        <v>70.335712183787976</v>
      </c>
      <c r="F775" s="188" t="str">
        <f t="shared" si="49"/>
        <v/>
      </c>
      <c r="G775" t="str">
        <f t="shared" si="50"/>
        <v/>
      </c>
      <c r="H775" s="188" t="str">
        <f t="shared" si="51"/>
        <v/>
      </c>
      <c r="I775" s="189"/>
    </row>
    <row r="776" spans="1:9">
      <c r="A776" s="187">
        <v>724</v>
      </c>
      <c r="B776" s="222">
        <v>46168</v>
      </c>
      <c r="C776" s="221">
        <v>88.420787201786126</v>
      </c>
      <c r="D776" s="221">
        <v>96.996337327600401</v>
      </c>
      <c r="E776" s="221">
        <f t="shared" si="48"/>
        <v>88.420787201786126</v>
      </c>
      <c r="F776" s="188" t="str">
        <f t="shared" si="49"/>
        <v/>
      </c>
      <c r="G776" t="str">
        <f t="shared" si="50"/>
        <v/>
      </c>
      <c r="H776" s="188" t="str">
        <f t="shared" si="51"/>
        <v/>
      </c>
      <c r="I776" s="189"/>
    </row>
    <row r="777" spans="1:9">
      <c r="A777" s="187">
        <v>725</v>
      </c>
      <c r="B777" s="222">
        <v>46169</v>
      </c>
      <c r="C777" s="221">
        <v>61.802897712191637</v>
      </c>
      <c r="D777" s="221">
        <v>96.996337327600401</v>
      </c>
      <c r="E777" s="221">
        <f t="shared" si="48"/>
        <v>61.802897712191637</v>
      </c>
      <c r="F777" s="188" t="str">
        <f t="shared" si="49"/>
        <v/>
      </c>
      <c r="G777" t="str">
        <f t="shared" si="50"/>
        <v/>
      </c>
      <c r="H777" s="188" t="str">
        <f t="shared" si="51"/>
        <v/>
      </c>
      <c r="I777" s="189"/>
    </row>
    <row r="778" spans="1:9">
      <c r="A778" s="187">
        <v>726</v>
      </c>
      <c r="B778" s="222">
        <v>46170</v>
      </c>
      <c r="C778" s="221">
        <v>60.744908920193495</v>
      </c>
      <c r="D778" s="221">
        <v>96.996337327600401</v>
      </c>
      <c r="E778" s="221">
        <f t="shared" si="48"/>
        <v>60.744908920193495</v>
      </c>
      <c r="F778" s="188" t="str">
        <f t="shared" si="49"/>
        <v/>
      </c>
      <c r="G778" t="str">
        <f t="shared" si="50"/>
        <v/>
      </c>
      <c r="H778" s="188" t="str">
        <f t="shared" si="51"/>
        <v/>
      </c>
      <c r="I778" s="189"/>
    </row>
    <row r="779" spans="1:9">
      <c r="A779" s="187">
        <v>727</v>
      </c>
      <c r="B779" s="222">
        <v>46171</v>
      </c>
      <c r="C779" s="221">
        <v>74.396140904189778</v>
      </c>
      <c r="D779" s="221">
        <v>96.996337327600401</v>
      </c>
      <c r="E779" s="221">
        <f t="shared" si="48"/>
        <v>74.396140904189778</v>
      </c>
      <c r="F779" s="188" t="str">
        <f t="shared" si="49"/>
        <v/>
      </c>
      <c r="G779" t="str">
        <f t="shared" si="50"/>
        <v/>
      </c>
      <c r="H779" s="188" t="str">
        <f t="shared" si="51"/>
        <v/>
      </c>
      <c r="I779" s="189"/>
    </row>
    <row r="780" spans="1:9">
      <c r="A780" s="187">
        <v>728</v>
      </c>
      <c r="B780" s="222">
        <v>46172</v>
      </c>
      <c r="C780" s="221">
        <v>52.28320616819164</v>
      </c>
      <c r="D780" s="221">
        <v>96.996337327600401</v>
      </c>
      <c r="E780" s="221">
        <f t="shared" si="48"/>
        <v>52.28320616819164</v>
      </c>
      <c r="F780" s="188" t="str">
        <f t="shared" si="49"/>
        <v/>
      </c>
      <c r="G780" t="str">
        <f t="shared" si="50"/>
        <v/>
      </c>
      <c r="H780" s="188" t="str">
        <f t="shared" si="51"/>
        <v/>
      </c>
      <c r="I780" s="189"/>
    </row>
    <row r="781" spans="1:9">
      <c r="A781" s="187">
        <v>729</v>
      </c>
      <c r="B781" s="222">
        <v>46173</v>
      </c>
      <c r="C781" s="221">
        <v>27.053107012193504</v>
      </c>
      <c r="D781" s="221">
        <v>96.996337327600401</v>
      </c>
      <c r="E781" s="221">
        <f t="shared" si="48"/>
        <v>27.053107012193504</v>
      </c>
      <c r="F781" s="188" t="str">
        <f t="shared" si="49"/>
        <v/>
      </c>
      <c r="G781" t="str">
        <f t="shared" si="50"/>
        <v/>
      </c>
      <c r="H781" s="188" t="str">
        <f t="shared" si="51"/>
        <v/>
      </c>
      <c r="I781" s="189"/>
    </row>
    <row r="782" spans="1:9">
      <c r="A782" s="187">
        <v>730</v>
      </c>
      <c r="B782" s="222">
        <v>46174</v>
      </c>
      <c r="C782" s="221">
        <v>47.068135448191633</v>
      </c>
      <c r="D782" s="221">
        <v>62.073163406333713</v>
      </c>
      <c r="E782" s="221">
        <f t="shared" si="48"/>
        <v>47.068135448191633</v>
      </c>
      <c r="F782" s="188">
        <f t="shared" si="49"/>
        <v>600</v>
      </c>
      <c r="G782" t="str">
        <f t="shared" si="50"/>
        <v/>
      </c>
      <c r="H782" s="188" t="str">
        <f t="shared" si="51"/>
        <v/>
      </c>
      <c r="I782" s="189"/>
    </row>
    <row r="783" spans="1:9">
      <c r="A783" s="187">
        <v>731</v>
      </c>
      <c r="B783" s="222">
        <v>46175</v>
      </c>
      <c r="C783" s="221">
        <v>42.573148472195363</v>
      </c>
      <c r="D783" s="221">
        <v>62.073163406333713</v>
      </c>
      <c r="E783" s="221">
        <f t="shared" si="48"/>
        <v>42.573148472195363</v>
      </c>
      <c r="F783" s="188" t="str">
        <f t="shared" si="49"/>
        <v/>
      </c>
      <c r="G783" t="str">
        <f>IF(MONTH(B783)=1,IF(DAY(B783)=1,YEAR(B783),""),"")</f>
        <v/>
      </c>
      <c r="H783" s="188" t="str">
        <f t="shared" si="51"/>
        <v/>
      </c>
      <c r="I783" s="189"/>
    </row>
    <row r="784" spans="1:9">
      <c r="A784" s="187">
        <v>732</v>
      </c>
      <c r="B784" s="222">
        <v>46176</v>
      </c>
      <c r="C784" s="221">
        <v>50.379102327468779</v>
      </c>
      <c r="D784" s="221">
        <v>62.073163406333713</v>
      </c>
      <c r="E784" s="221">
        <f t="shared" si="48"/>
        <v>50.379102327468779</v>
      </c>
      <c r="F784" s="188" t="str">
        <f t="shared" si="49"/>
        <v/>
      </c>
      <c r="G784" t="str">
        <f t="shared" si="50"/>
        <v/>
      </c>
      <c r="H784" s="188" t="str">
        <f t="shared" si="51"/>
        <v/>
      </c>
      <c r="I784" s="189"/>
    </row>
    <row r="785" spans="1:9">
      <c r="A785" s="187">
        <v>733</v>
      </c>
      <c r="B785" s="222">
        <v>46177</v>
      </c>
      <c r="C785" s="221">
        <v>43.434186287470645</v>
      </c>
      <c r="D785" s="221">
        <v>62.073163406333713</v>
      </c>
      <c r="E785" s="221">
        <f t="shared" si="48"/>
        <v>43.434186287470645</v>
      </c>
      <c r="F785" s="188" t="str">
        <f t="shared" si="49"/>
        <v/>
      </c>
      <c r="G785" t="str">
        <f t="shared" si="50"/>
        <v/>
      </c>
      <c r="H785" s="188" t="str">
        <f t="shared" si="51"/>
        <v/>
      </c>
      <c r="I785" s="189"/>
    </row>
    <row r="786" spans="1:9">
      <c r="A786" s="187">
        <v>734</v>
      </c>
      <c r="B786" s="222">
        <v>46178</v>
      </c>
      <c r="C786" s="221">
        <v>47.216500133468784</v>
      </c>
      <c r="D786" s="221">
        <v>62.073163406333713</v>
      </c>
      <c r="E786" s="221">
        <f t="shared" si="48"/>
        <v>47.216500133468784</v>
      </c>
      <c r="F786" s="188" t="str">
        <f t="shared" si="49"/>
        <v/>
      </c>
      <c r="G786" t="str">
        <f t="shared" si="50"/>
        <v/>
      </c>
      <c r="H786" s="188" t="str">
        <f t="shared" si="51"/>
        <v/>
      </c>
      <c r="I786" s="189"/>
    </row>
    <row r="787" spans="1:9">
      <c r="A787" s="187">
        <v>735</v>
      </c>
      <c r="B787" s="222">
        <v>46179</v>
      </c>
      <c r="C787" s="221">
        <v>47.459840479468781</v>
      </c>
      <c r="D787" s="221">
        <v>62.073163406333713</v>
      </c>
      <c r="E787" s="221">
        <f t="shared" si="48"/>
        <v>47.459840479468781</v>
      </c>
      <c r="F787" s="188" t="str">
        <f t="shared" si="49"/>
        <v/>
      </c>
      <c r="G787" t="str">
        <f t="shared" si="50"/>
        <v/>
      </c>
      <c r="H787" s="188" t="str">
        <f t="shared" si="51"/>
        <v/>
      </c>
      <c r="I787" s="189"/>
    </row>
    <row r="788" spans="1:9">
      <c r="A788" s="187">
        <v>736</v>
      </c>
      <c r="B788" s="222">
        <v>46180</v>
      </c>
      <c r="C788" s="221">
        <v>33.044922431470646</v>
      </c>
      <c r="D788" s="221">
        <v>62.073163406333713</v>
      </c>
      <c r="E788" s="221">
        <f t="shared" si="48"/>
        <v>33.044922431470646</v>
      </c>
      <c r="F788" s="188" t="str">
        <f t="shared" si="49"/>
        <v/>
      </c>
      <c r="G788" t="str">
        <f t="shared" si="50"/>
        <v/>
      </c>
      <c r="H788" s="188" t="str">
        <f t="shared" si="51"/>
        <v/>
      </c>
      <c r="I788" s="189"/>
    </row>
    <row r="789" spans="1:9">
      <c r="A789" s="187">
        <v>737</v>
      </c>
      <c r="B789" s="222">
        <v>46181</v>
      </c>
      <c r="C789" s="221">
        <v>44.453724247468784</v>
      </c>
      <c r="D789" s="221">
        <v>62.073163406333713</v>
      </c>
      <c r="E789" s="221">
        <f t="shared" si="48"/>
        <v>44.453724247468784</v>
      </c>
      <c r="F789" s="188" t="str">
        <f t="shared" si="49"/>
        <v/>
      </c>
      <c r="G789" t="str">
        <f t="shared" si="50"/>
        <v/>
      </c>
      <c r="H789" s="188" t="str">
        <f t="shared" si="51"/>
        <v/>
      </c>
      <c r="I789" s="189"/>
    </row>
    <row r="790" spans="1:9">
      <c r="A790" s="187">
        <v>738</v>
      </c>
      <c r="B790" s="222">
        <v>46182</v>
      </c>
      <c r="C790" s="221">
        <v>34.078163039472507</v>
      </c>
      <c r="D790" s="221">
        <v>62.073163406333713</v>
      </c>
      <c r="E790" s="221">
        <f t="shared" si="48"/>
        <v>34.078163039472507</v>
      </c>
      <c r="F790" s="188" t="str">
        <f t="shared" si="49"/>
        <v/>
      </c>
      <c r="G790" t="str">
        <f t="shared" si="50"/>
        <v/>
      </c>
      <c r="H790" s="188" t="str">
        <f t="shared" si="51"/>
        <v/>
      </c>
      <c r="I790" s="189"/>
    </row>
    <row r="791" spans="1:9">
      <c r="A791" s="187">
        <v>739</v>
      </c>
      <c r="B791" s="222">
        <v>46183</v>
      </c>
      <c r="C791" s="221">
        <v>30.747152508585394</v>
      </c>
      <c r="D791" s="221">
        <v>62.073163406333713</v>
      </c>
      <c r="E791" s="221">
        <f t="shared" si="48"/>
        <v>30.747152508585394</v>
      </c>
      <c r="F791" s="188" t="str">
        <f t="shared" si="49"/>
        <v/>
      </c>
      <c r="G791" t="str">
        <f t="shared" si="50"/>
        <v/>
      </c>
      <c r="H791" s="188" t="str">
        <f t="shared" si="51"/>
        <v/>
      </c>
      <c r="I791" s="189"/>
    </row>
    <row r="792" spans="1:9">
      <c r="A792" s="187">
        <v>740</v>
      </c>
      <c r="B792" s="222">
        <v>46184</v>
      </c>
      <c r="C792" s="221">
        <v>30.556959344583536</v>
      </c>
      <c r="D792" s="221">
        <v>62.073163406333713</v>
      </c>
      <c r="E792" s="221">
        <f t="shared" si="48"/>
        <v>30.556959344583536</v>
      </c>
      <c r="F792" s="188" t="str">
        <f t="shared" si="49"/>
        <v/>
      </c>
      <c r="G792" t="str">
        <f t="shared" si="50"/>
        <v/>
      </c>
      <c r="H792" s="188" t="str">
        <f t="shared" si="51"/>
        <v/>
      </c>
      <c r="I792" s="189"/>
    </row>
    <row r="793" spans="1:9">
      <c r="A793" s="187">
        <v>741</v>
      </c>
      <c r="B793" s="222">
        <v>46185</v>
      </c>
      <c r="C793" s="221">
        <v>30.195372312585395</v>
      </c>
      <c r="D793" s="221">
        <v>62.073163406333713</v>
      </c>
      <c r="E793" s="221">
        <f t="shared" si="48"/>
        <v>30.195372312585395</v>
      </c>
      <c r="F793" s="188" t="str">
        <f t="shared" si="49"/>
        <v/>
      </c>
      <c r="G793" t="str">
        <f t="shared" si="50"/>
        <v/>
      </c>
      <c r="H793" s="188" t="str">
        <f t="shared" si="51"/>
        <v/>
      </c>
      <c r="I793" s="189"/>
    </row>
    <row r="794" spans="1:9">
      <c r="A794" s="187">
        <v>742</v>
      </c>
      <c r="B794" s="222">
        <v>46186</v>
      </c>
      <c r="C794" s="221">
        <v>34.563535425583531</v>
      </c>
      <c r="D794" s="221">
        <v>62.073163406333713</v>
      </c>
      <c r="E794" s="221">
        <f t="shared" si="48"/>
        <v>34.563535425583531</v>
      </c>
      <c r="F794" s="188" t="str">
        <f t="shared" si="49"/>
        <v/>
      </c>
      <c r="G794" t="str">
        <f t="shared" si="50"/>
        <v/>
      </c>
      <c r="H794" s="188" t="str">
        <f t="shared" si="51"/>
        <v/>
      </c>
      <c r="I794" s="189"/>
    </row>
    <row r="795" spans="1:9">
      <c r="A795" s="187">
        <v>743</v>
      </c>
      <c r="B795" s="222">
        <v>46187</v>
      </c>
      <c r="C795" s="221">
        <v>35.77137464758539</v>
      </c>
      <c r="D795" s="221">
        <v>62.073163406333713</v>
      </c>
      <c r="E795" s="221">
        <f t="shared" si="48"/>
        <v>35.77137464758539</v>
      </c>
      <c r="F795" s="188" t="str">
        <f t="shared" si="49"/>
        <v/>
      </c>
      <c r="G795" t="str">
        <f t="shared" si="50"/>
        <v/>
      </c>
      <c r="H795" s="188" t="str">
        <f t="shared" si="51"/>
        <v/>
      </c>
      <c r="I795" s="189"/>
    </row>
    <row r="796" spans="1:9">
      <c r="A796" s="187">
        <v>744</v>
      </c>
      <c r="B796" s="222">
        <v>46188</v>
      </c>
      <c r="C796" s="221">
        <v>61.105004408583525</v>
      </c>
      <c r="D796" s="221">
        <v>62.073163406333713</v>
      </c>
      <c r="E796" s="221">
        <f t="shared" si="48"/>
        <v>61.105004408583525</v>
      </c>
      <c r="F796" s="188" t="str">
        <f t="shared" si="49"/>
        <v/>
      </c>
      <c r="G796" t="str">
        <f t="shared" si="50"/>
        <v/>
      </c>
      <c r="H796" s="188" t="str">
        <f>IF(DAY(B796)=15,IF(MONTH(B796)=1,"E",IF(MONTH(B796)=2,"F",IF(MONTH(B796)=3,"M",IF(MONTH(B796)=4,"A",IF(MONTH(B796)=5,"M",IF(MONTH(B796)=6,"J",IF(MONTH(B796)=7,"J",IF(MONTH(B796)=8,"A",IF(MONTH(B796)=9,"S",IF(MONTH(B796)=10,"O",IF(MONTH(B796)=11,"N",IF(MONTH(B796)=12,"D","")))))))))))),"")</f>
        <v>J</v>
      </c>
      <c r="I796" s="189">
        <f>IF(DAY(B796)=15,D796,"")</f>
        <v>62.073163406333713</v>
      </c>
    </row>
    <row r="797" spans="1:9">
      <c r="A797" s="187">
        <v>745</v>
      </c>
      <c r="B797" s="222">
        <v>46189</v>
      </c>
      <c r="C797" s="221">
        <v>68.351302360587255</v>
      </c>
      <c r="D797" s="221">
        <v>62.073163406333713</v>
      </c>
      <c r="E797" s="221">
        <f t="shared" si="48"/>
        <v>62.073163406333713</v>
      </c>
      <c r="F797" s="188" t="str">
        <f t="shared" si="49"/>
        <v/>
      </c>
      <c r="G797" t="str">
        <f t="shared" si="50"/>
        <v/>
      </c>
      <c r="H797" s="188" t="str">
        <f t="shared" si="51"/>
        <v/>
      </c>
      <c r="I797" s="189"/>
    </row>
    <row r="798" spans="1:9">
      <c r="A798" s="187">
        <v>746</v>
      </c>
      <c r="B798" s="222">
        <v>46190</v>
      </c>
      <c r="C798" s="221">
        <v>40.407698469990194</v>
      </c>
      <c r="D798" s="221">
        <v>62.073163406333713</v>
      </c>
      <c r="E798" s="221">
        <f t="shared" si="48"/>
        <v>40.407698469990194</v>
      </c>
      <c r="F798" s="188" t="str">
        <f t="shared" si="49"/>
        <v/>
      </c>
      <c r="G798" t="str">
        <f t="shared" si="50"/>
        <v/>
      </c>
      <c r="H798" s="188" t="str">
        <f t="shared" si="51"/>
        <v/>
      </c>
      <c r="I798" s="189"/>
    </row>
    <row r="799" spans="1:9" s="189" customFormat="1">
      <c r="A799" s="187">
        <v>747</v>
      </c>
      <c r="B799" s="222">
        <v>46191</v>
      </c>
      <c r="C799" s="221">
        <v>30.290892797992054</v>
      </c>
      <c r="D799" s="221">
        <v>62.073163406333713</v>
      </c>
      <c r="E799" s="221">
        <f t="shared" si="48"/>
        <v>30.290892797992054</v>
      </c>
      <c r="F799" s="188" t="str">
        <f t="shared" si="49"/>
        <v/>
      </c>
      <c r="G799" t="str">
        <f t="shared" si="50"/>
        <v/>
      </c>
      <c r="H799" s="188" t="str">
        <f t="shared" si="51"/>
        <v/>
      </c>
    </row>
    <row r="800" spans="1:9" s="189" customFormat="1">
      <c r="A800" s="187">
        <v>748</v>
      </c>
      <c r="B800" s="222">
        <v>46192</v>
      </c>
      <c r="C800" s="221">
        <v>35.566409522995777</v>
      </c>
      <c r="D800" s="221">
        <v>62.073163406333713</v>
      </c>
      <c r="E800" s="221">
        <f t="shared" si="48"/>
        <v>35.566409522995777</v>
      </c>
      <c r="F800" s="188" t="str">
        <f t="shared" si="49"/>
        <v/>
      </c>
      <c r="G800" t="str">
        <f t="shared" si="50"/>
        <v/>
      </c>
      <c r="H800" s="188" t="str">
        <f t="shared" si="51"/>
        <v/>
      </c>
    </row>
    <row r="801" spans="1:8" s="189" customFormat="1">
      <c r="A801" s="187">
        <v>749</v>
      </c>
      <c r="B801" s="222">
        <v>46193</v>
      </c>
      <c r="C801" s="221">
        <v>12.367928405992053</v>
      </c>
      <c r="D801" s="221">
        <v>62.073163406333713</v>
      </c>
      <c r="E801" s="221">
        <f t="shared" si="48"/>
        <v>12.367928405992053</v>
      </c>
      <c r="F801" s="188" t="str">
        <f t="shared" si="49"/>
        <v/>
      </c>
      <c r="G801" t="str">
        <f t="shared" si="50"/>
        <v/>
      </c>
      <c r="H801" s="188" t="str">
        <f t="shared" si="51"/>
        <v/>
      </c>
    </row>
    <row r="802" spans="1:8" s="189" customFormat="1">
      <c r="A802" s="187">
        <v>750</v>
      </c>
      <c r="B802" s="222">
        <v>46194</v>
      </c>
      <c r="C802" s="221">
        <v>6.4833669819920541</v>
      </c>
      <c r="D802" s="221">
        <v>62.073163406333713</v>
      </c>
      <c r="E802" s="221">
        <f t="shared" si="48"/>
        <v>6.4833669819920541</v>
      </c>
      <c r="F802" s="188" t="str">
        <f t="shared" si="49"/>
        <v/>
      </c>
      <c r="G802" t="str">
        <f t="shared" si="50"/>
        <v/>
      </c>
      <c r="H802" s="188" t="str">
        <f t="shared" si="51"/>
        <v/>
      </c>
    </row>
    <row r="803" spans="1:8" s="189" customFormat="1">
      <c r="A803" s="187">
        <v>751</v>
      </c>
      <c r="B803" s="222">
        <v>46195</v>
      </c>
      <c r="C803" s="221">
        <v>37.619524392993917</v>
      </c>
      <c r="D803" s="221">
        <v>62.073163406333713</v>
      </c>
      <c r="E803" s="221">
        <f t="shared" si="48"/>
        <v>37.619524392993917</v>
      </c>
      <c r="F803" s="188" t="str">
        <f t="shared" si="49"/>
        <v/>
      </c>
      <c r="G803" t="str">
        <f t="shared" si="50"/>
        <v/>
      </c>
      <c r="H803" s="188" t="str">
        <f t="shared" si="51"/>
        <v/>
      </c>
    </row>
    <row r="804" spans="1:8" s="189" customFormat="1">
      <c r="A804" s="187">
        <v>752</v>
      </c>
      <c r="B804" s="222">
        <v>46196</v>
      </c>
      <c r="C804" s="221">
        <v>53.082636909993916</v>
      </c>
      <c r="D804" s="221">
        <v>62.073163406333713</v>
      </c>
      <c r="E804" s="221">
        <f t="shared" si="48"/>
        <v>53.082636909993916</v>
      </c>
      <c r="F804" s="188" t="str">
        <f t="shared" si="49"/>
        <v/>
      </c>
      <c r="G804" t="str">
        <f t="shared" si="50"/>
        <v/>
      </c>
      <c r="H804" s="188" t="str">
        <f t="shared" si="51"/>
        <v/>
      </c>
    </row>
    <row r="805" spans="1:8" s="189" customFormat="1">
      <c r="A805" s="187">
        <v>753</v>
      </c>
      <c r="B805" s="222">
        <v>46197</v>
      </c>
      <c r="C805" s="221">
        <v>29.837647560541054</v>
      </c>
      <c r="D805" s="221">
        <v>62.073163406333713</v>
      </c>
      <c r="E805" s="221">
        <f t="shared" si="48"/>
        <v>29.837647560541054</v>
      </c>
      <c r="F805" s="188" t="str">
        <f t="shared" si="49"/>
        <v/>
      </c>
      <c r="G805" t="str">
        <f t="shared" si="50"/>
        <v/>
      </c>
      <c r="H805" s="188" t="str">
        <f t="shared" si="51"/>
        <v/>
      </c>
    </row>
    <row r="806" spans="1:8" s="189" customFormat="1">
      <c r="A806" s="187">
        <v>754</v>
      </c>
      <c r="B806" s="222">
        <v>46198</v>
      </c>
      <c r="C806" s="221">
        <v>17.098436928539186</v>
      </c>
      <c r="D806" s="221">
        <v>62.073163406333713</v>
      </c>
      <c r="E806" s="221">
        <f t="shared" si="48"/>
        <v>17.098436928539186</v>
      </c>
      <c r="F806" s="188" t="str">
        <f t="shared" si="49"/>
        <v/>
      </c>
      <c r="G806" t="str">
        <f t="shared" si="50"/>
        <v/>
      </c>
      <c r="H806" s="188" t="str">
        <f t="shared" si="51"/>
        <v/>
      </c>
    </row>
    <row r="807" spans="1:8" s="189" customFormat="1">
      <c r="A807" s="187">
        <v>755</v>
      </c>
      <c r="B807" s="222">
        <v>46199</v>
      </c>
      <c r="C807" s="221">
        <v>11.56675413354105</v>
      </c>
      <c r="D807" s="221">
        <v>62.073163406333713</v>
      </c>
      <c r="E807" s="221">
        <f t="shared" si="48"/>
        <v>11.56675413354105</v>
      </c>
      <c r="F807" s="188" t="str">
        <f t="shared" si="49"/>
        <v/>
      </c>
      <c r="G807" t="str">
        <f t="shared" si="50"/>
        <v/>
      </c>
      <c r="H807" s="188" t="str">
        <f t="shared" si="51"/>
        <v/>
      </c>
    </row>
    <row r="808" spans="1:8" s="189" customFormat="1">
      <c r="A808" s="187">
        <v>756</v>
      </c>
      <c r="B808" s="222">
        <v>46200</v>
      </c>
      <c r="C808" s="221">
        <v>8.9710408995429169</v>
      </c>
      <c r="D808" s="221">
        <v>62.073163406333713</v>
      </c>
      <c r="E808" s="221">
        <f t="shared" si="48"/>
        <v>8.9710408995429169</v>
      </c>
      <c r="F808" s="188" t="str">
        <f t="shared" si="49"/>
        <v/>
      </c>
      <c r="G808" t="str">
        <f t="shared" si="50"/>
        <v/>
      </c>
      <c r="H808" s="188" t="str">
        <f t="shared" si="51"/>
        <v/>
      </c>
    </row>
    <row r="809" spans="1:8" s="189" customFormat="1">
      <c r="A809" s="187">
        <v>757</v>
      </c>
      <c r="B809" s="222">
        <v>46201</v>
      </c>
      <c r="C809" s="221">
        <v>3.9053097725391925</v>
      </c>
      <c r="D809" s="221">
        <v>62.073163406333713</v>
      </c>
      <c r="E809" s="221">
        <f t="shared" si="48"/>
        <v>3.9053097725391925</v>
      </c>
      <c r="F809" s="188" t="str">
        <f t="shared" si="49"/>
        <v/>
      </c>
      <c r="G809" t="str">
        <f t="shared" si="50"/>
        <v/>
      </c>
      <c r="H809" s="188" t="str">
        <f t="shared" si="51"/>
        <v/>
      </c>
    </row>
    <row r="810" spans="1:8" s="189" customFormat="1">
      <c r="A810" s="187">
        <v>758</v>
      </c>
      <c r="B810" s="222">
        <v>46202</v>
      </c>
      <c r="C810" s="221">
        <v>4.3066469645391914</v>
      </c>
      <c r="D810" s="221">
        <v>62.073163406333713</v>
      </c>
      <c r="E810" s="221">
        <f t="shared" ref="E810" si="52">IF(C810&lt;D810,C810,D810)</f>
        <v>4.3066469645391914</v>
      </c>
      <c r="F810" s="188" t="str">
        <f t="shared" si="49"/>
        <v/>
      </c>
      <c r="G810" t="str">
        <f t="shared" si="50"/>
        <v/>
      </c>
      <c r="H810" s="188" t="str">
        <f t="shared" si="51"/>
        <v/>
      </c>
    </row>
    <row r="811" spans="1:8" s="189" customFormat="1">
      <c r="A811" s="187">
        <v>759</v>
      </c>
      <c r="B811" s="222">
        <v>46203</v>
      </c>
      <c r="C811" s="221">
        <v>20.873341964539183</v>
      </c>
      <c r="D811" s="221">
        <v>62.073163406333713</v>
      </c>
      <c r="E811" s="221">
        <f t="shared" ref="E811" si="53">IF(C811&lt;D811,C811,D811)</f>
        <v>20.873341964539183</v>
      </c>
      <c r="F811" s="188"/>
      <c r="H811" s="188" t="str">
        <f t="shared" si="51"/>
        <v/>
      </c>
    </row>
    <row r="812" spans="1:8" s="189" customFormat="1">
      <c r="A812" s="187">
        <v>760</v>
      </c>
      <c r="B812" s="222">
        <v>46204</v>
      </c>
      <c r="C812" s="221">
        <v>22.324275894793491</v>
      </c>
      <c r="D812" s="221">
        <v>25.396419914890746</v>
      </c>
      <c r="E812" s="221">
        <f t="shared" ref="E812" si="54">IF(C812&lt;D812,C812,D812)</f>
        <v>22.324275894793491</v>
      </c>
      <c r="F812" s="188"/>
      <c r="G812" t="str">
        <f>IF(MONTH(B811)=1,IF(DAY(B811)=1,YEAR(B811),""),"")</f>
        <v/>
      </c>
      <c r="H812" s="188" t="str">
        <f t="shared" si="51"/>
        <v/>
      </c>
    </row>
    <row r="813" spans="1:8" s="189" customFormat="1">
      <c r="A813" s="187"/>
      <c r="B813" s="222"/>
      <c r="C813" s="221"/>
      <c r="D813" s="221"/>
      <c r="E813" s="221"/>
      <c r="F813" s="188"/>
      <c r="G813" t="str">
        <f>IF(MONTH(B812)=1,IF(DAY(B812)=1,YEAR(B812),""),"")</f>
        <v/>
      </c>
      <c r="H813" s="188" t="str">
        <f t="shared" si="51"/>
        <v/>
      </c>
    </row>
    <row r="814" spans="1:8">
      <c r="B814" s="104"/>
      <c r="C814" s="104"/>
      <c r="D814" s="104"/>
      <c r="E814" s="104"/>
      <c r="F814" s="104"/>
      <c r="G814" s="104"/>
      <c r="H814" s="104"/>
    </row>
    <row r="815" spans="1:8">
      <c r="A815" s="142" t="s">
        <v>39</v>
      </c>
      <c r="B815" s="145"/>
      <c r="C815" s="146"/>
      <c r="D815" s="146" t="s">
        <v>33</v>
      </c>
      <c r="E815" s="354" t="s">
        <v>34</v>
      </c>
      <c r="F815" s="354"/>
      <c r="G815" s="354"/>
      <c r="H815" s="147"/>
    </row>
    <row r="816" spans="1:8">
      <c r="A816" s="148"/>
      <c r="B816" s="148"/>
      <c r="C816" s="149" t="s">
        <v>35</v>
      </c>
      <c r="D816" s="149" t="s">
        <v>36</v>
      </c>
      <c r="E816" s="149" t="s">
        <v>21</v>
      </c>
      <c r="F816" s="149" t="s">
        <v>37</v>
      </c>
      <c r="G816" s="149" t="s">
        <v>65</v>
      </c>
      <c r="H816" s="149" t="s">
        <v>38</v>
      </c>
    </row>
    <row r="817" spans="1:8">
      <c r="A817" s="153">
        <v>2022</v>
      </c>
      <c r="B817" s="154" t="s">
        <v>90</v>
      </c>
      <c r="C817" s="150">
        <v>7030.3147235812303</v>
      </c>
      <c r="D817" s="151">
        <v>18538.071</v>
      </c>
      <c r="E817" s="151">
        <v>13035.252519200001</v>
      </c>
      <c r="F817" s="151">
        <v>5477.0266986999977</v>
      </c>
      <c r="G817" s="151">
        <v>9325.0652119229526</v>
      </c>
      <c r="H817" s="152">
        <f t="shared" ref="H817:H854" si="55">C817/D817*100</f>
        <v>37.923658419375087</v>
      </c>
    </row>
    <row r="818" spans="1:8">
      <c r="A818" s="153"/>
      <c r="B818" s="154" t="s">
        <v>82</v>
      </c>
      <c r="C818" s="150">
        <v>6849.7365063100897</v>
      </c>
      <c r="D818" s="151">
        <v>18538.071</v>
      </c>
      <c r="E818" s="151">
        <v>13419.170344149999</v>
      </c>
      <c r="F818" s="151">
        <v>5596.8493599999993</v>
      </c>
      <c r="G818" s="151">
        <v>10034.297981343811</v>
      </c>
      <c r="H818" s="152">
        <f t="shared" si="55"/>
        <v>36.949564527561094</v>
      </c>
    </row>
    <row r="819" spans="1:8">
      <c r="A819" s="153"/>
      <c r="B819" s="154" t="s">
        <v>83</v>
      </c>
      <c r="C819" s="150">
        <v>7242.5224796164302</v>
      </c>
      <c r="D819" s="151">
        <v>18538.071</v>
      </c>
      <c r="E819" s="151">
        <v>13898.837668799999</v>
      </c>
      <c r="F819" s="151">
        <v>5950.5832111499976</v>
      </c>
      <c r="G819" s="151">
        <v>10651.382707382183</v>
      </c>
      <c r="H819" s="152">
        <f t="shared" si="55"/>
        <v>39.068371674789844</v>
      </c>
    </row>
    <row r="820" spans="1:8">
      <c r="A820" s="153"/>
      <c r="B820" s="154" t="s">
        <v>84</v>
      </c>
      <c r="C820" s="150">
        <v>7896.3920571419603</v>
      </c>
      <c r="D820" s="151">
        <v>18538.071</v>
      </c>
      <c r="E820" s="151">
        <v>13999.32071715</v>
      </c>
      <c r="F820" s="151">
        <v>7213.8650399999988</v>
      </c>
      <c r="G820" s="151">
        <v>11224.845272938524</v>
      </c>
      <c r="H820" s="152">
        <f t="shared" si="55"/>
        <v>42.595543285717049</v>
      </c>
    </row>
    <row r="821" spans="1:8">
      <c r="A821" s="153"/>
      <c r="B821" s="154" t="s">
        <v>83</v>
      </c>
      <c r="C821" s="150">
        <v>7862.6649207238397</v>
      </c>
      <c r="D821" s="151">
        <v>18538.071</v>
      </c>
      <c r="E821" s="151">
        <v>14194.180336200001</v>
      </c>
      <c r="F821" s="151">
        <v>7275.1757219999972</v>
      </c>
      <c r="G821" s="151">
        <v>11376.573024106245</v>
      </c>
      <c r="H821" s="152">
        <f t="shared" si="55"/>
        <v>42.413608841631039</v>
      </c>
    </row>
    <row r="822" spans="1:8">
      <c r="A822" s="153"/>
      <c r="B822" s="154" t="s">
        <v>85</v>
      </c>
      <c r="C822" s="150">
        <v>7336.6756913938698</v>
      </c>
      <c r="D822" s="151">
        <v>18538.071</v>
      </c>
      <c r="E822" s="151">
        <v>13918.899108600002</v>
      </c>
      <c r="F822" s="151">
        <v>6720.2938423489422</v>
      </c>
      <c r="G822" s="151">
        <v>10871.053378959414</v>
      </c>
      <c r="H822" s="152">
        <f t="shared" si="55"/>
        <v>39.576262769701714</v>
      </c>
    </row>
    <row r="823" spans="1:8">
      <c r="A823" s="153"/>
      <c r="B823" s="154" t="s">
        <v>85</v>
      </c>
      <c r="C823" s="150">
        <v>6503.7333101836002</v>
      </c>
      <c r="D823" s="151">
        <v>18538.071</v>
      </c>
      <c r="E823" s="151">
        <v>12486.880997399992</v>
      </c>
      <c r="F823" s="151">
        <v>5861.5753199858218</v>
      </c>
      <c r="G823" s="151">
        <v>9714.3243532549059</v>
      </c>
      <c r="H823" s="152">
        <f t="shared" si="55"/>
        <v>35.083117926258886</v>
      </c>
    </row>
    <row r="824" spans="1:8">
      <c r="A824" s="153"/>
      <c r="B824" s="154" t="s">
        <v>84</v>
      </c>
      <c r="C824" s="150">
        <v>5663.3995666707096</v>
      </c>
      <c r="D824" s="151">
        <v>18538.071</v>
      </c>
      <c r="E824" s="151">
        <v>11155.732386300004</v>
      </c>
      <c r="F824" s="151">
        <v>5122.4186417062165</v>
      </c>
      <c r="G824" s="151">
        <v>8618.9540563929877</v>
      </c>
      <c r="H824" s="152">
        <f t="shared" si="55"/>
        <v>30.550101823812785</v>
      </c>
    </row>
    <row r="825" spans="1:8">
      <c r="A825" s="153"/>
      <c r="B825" s="154" t="s">
        <v>86</v>
      </c>
      <c r="C825" s="150">
        <v>4854.8048105114403</v>
      </c>
      <c r="D825" s="151">
        <v>18538.071</v>
      </c>
      <c r="E825" s="151">
        <v>10360.471131599998</v>
      </c>
      <c r="F825" s="151">
        <v>4769.6031145773832</v>
      </c>
      <c r="G825" s="151">
        <v>7853.1852055328782</v>
      </c>
      <c r="H825" s="152">
        <f t="shared" si="55"/>
        <v>26.188295483987741</v>
      </c>
    </row>
    <row r="826" spans="1:8">
      <c r="A826" s="153"/>
      <c r="B826" s="154" t="s">
        <v>87</v>
      </c>
      <c r="C826" s="150">
        <v>4989.2516276194901</v>
      </c>
      <c r="D826" s="151">
        <v>18538.071</v>
      </c>
      <c r="E826" s="151">
        <v>10037.671056599998</v>
      </c>
      <c r="F826" s="151">
        <v>4490.9091346624027</v>
      </c>
      <c r="G826" s="151">
        <v>7700.931035509464</v>
      </c>
      <c r="H826" s="152">
        <f t="shared" si="55"/>
        <v>26.913542555854331</v>
      </c>
    </row>
    <row r="827" spans="1:8">
      <c r="A827" s="153"/>
      <c r="B827" s="154" t="s">
        <v>88</v>
      </c>
      <c r="C827" s="150">
        <v>5789.2389871449896</v>
      </c>
      <c r="D827" s="151">
        <v>18538.071</v>
      </c>
      <c r="E827" s="151">
        <v>11248.176501599997</v>
      </c>
      <c r="F827" s="151">
        <v>4818.1352348499995</v>
      </c>
      <c r="G827" s="151">
        <v>8119.3286799822454</v>
      </c>
      <c r="H827" s="152">
        <f t="shared" si="55"/>
        <v>31.228917977199405</v>
      </c>
    </row>
    <row r="828" spans="1:8">
      <c r="A828" s="153"/>
      <c r="B828" s="154" t="s">
        <v>89</v>
      </c>
      <c r="C828" s="150">
        <v>8226.3793556488708</v>
      </c>
      <c r="D828" s="151">
        <v>18538.071</v>
      </c>
      <c r="E828" s="151">
        <v>13212.158572249993</v>
      </c>
      <c r="F828" s="151">
        <v>5311.2606904000004</v>
      </c>
      <c r="G828" s="151">
        <v>8643.2465402423641</v>
      </c>
      <c r="H828" s="152">
        <f t="shared" si="55"/>
        <v>44.375595258259992</v>
      </c>
    </row>
    <row r="829" spans="1:8">
      <c r="A829" s="153">
        <v>2023</v>
      </c>
      <c r="B829" s="154" t="s">
        <v>90</v>
      </c>
      <c r="C829" s="150">
        <v>10223.608293560101</v>
      </c>
      <c r="D829" s="151">
        <v>18538.071</v>
      </c>
      <c r="E829" s="151">
        <v>13040.239735350002</v>
      </c>
      <c r="F829" s="151">
        <v>5486.0984956999982</v>
      </c>
      <c r="G829" s="151">
        <v>9345.1985046020109</v>
      </c>
      <c r="H829" s="152">
        <f t="shared" si="55"/>
        <v>55.149256325321552</v>
      </c>
    </row>
    <row r="830" spans="1:8">
      <c r="A830" s="153"/>
      <c r="B830" s="154" t="s">
        <v>82</v>
      </c>
      <c r="C830" s="150">
        <v>9799.5666123993706</v>
      </c>
      <c r="D830" s="151">
        <v>18538.071</v>
      </c>
      <c r="E830" s="151">
        <v>13487.652788849999</v>
      </c>
      <c r="F830" s="151">
        <v>5615.0378613499997</v>
      </c>
      <c r="G830" s="151">
        <v>10020.752600659313</v>
      </c>
      <c r="H830" s="152">
        <f t="shared" si="55"/>
        <v>52.861846372253993</v>
      </c>
    </row>
    <row r="831" spans="1:8">
      <c r="A831" s="153"/>
      <c r="B831" s="154" t="s">
        <v>83</v>
      </c>
      <c r="C831" s="150">
        <v>10212.192476558999</v>
      </c>
      <c r="D831" s="151">
        <v>18538.071</v>
      </c>
      <c r="E831" s="151">
        <v>13930.057121199998</v>
      </c>
      <c r="F831" s="151">
        <v>6014.3883134999978</v>
      </c>
      <c r="G831" s="151">
        <v>10628.434723363</v>
      </c>
      <c r="H831" s="152">
        <f t="shared" si="55"/>
        <v>55.087675932188404</v>
      </c>
    </row>
    <row r="832" spans="1:8">
      <c r="A832" s="153"/>
      <c r="B832" s="154" t="s">
        <v>84</v>
      </c>
      <c r="C832" s="150">
        <v>9885.1331418185291</v>
      </c>
      <c r="D832" s="151">
        <v>18538.071</v>
      </c>
      <c r="E832" s="151">
        <v>14047.993249249999</v>
      </c>
      <c r="F832" s="151">
        <v>7267.1733878570958</v>
      </c>
      <c r="G832" s="151">
        <v>11226.165030795621</v>
      </c>
      <c r="H832" s="152">
        <f t="shared" si="55"/>
        <v>53.323418287795576</v>
      </c>
    </row>
    <row r="833" spans="1:8">
      <c r="A833" s="153"/>
      <c r="B833" s="154" t="s">
        <v>83</v>
      </c>
      <c r="C833" s="150">
        <v>9365.4005860970192</v>
      </c>
      <c r="D833" s="151">
        <v>18538.071</v>
      </c>
      <c r="E833" s="151">
        <v>14233.601752450002</v>
      </c>
      <c r="F833" s="151">
        <v>7325.0050030361872</v>
      </c>
      <c r="G833" s="151">
        <v>11367.959959142432</v>
      </c>
      <c r="H833" s="152">
        <f t="shared" si="55"/>
        <v>50.51982261852929</v>
      </c>
    </row>
    <row r="834" spans="1:8">
      <c r="A834" s="153"/>
      <c r="B834" s="154" t="s">
        <v>85</v>
      </c>
      <c r="C834" s="150">
        <v>9135.7508606141801</v>
      </c>
      <c r="D834" s="151">
        <v>18538.071</v>
      </c>
      <c r="E834" s="151">
        <v>13976.290717650001</v>
      </c>
      <c r="F834" s="151">
        <v>6772.5070219186337</v>
      </c>
      <c r="G834" s="151">
        <v>10854.516130029104</v>
      </c>
      <c r="H834" s="152">
        <f t="shared" si="55"/>
        <v>49.281022068661727</v>
      </c>
    </row>
    <row r="835" spans="1:8">
      <c r="A835" s="153"/>
      <c r="B835" s="154" t="s">
        <v>85</v>
      </c>
      <c r="C835" s="150">
        <v>8175.9128053970835</v>
      </c>
      <c r="D835" s="151">
        <v>18538.071</v>
      </c>
      <c r="E835" s="151">
        <v>12562.378863849992</v>
      </c>
      <c r="F835" s="151">
        <v>5915.1664204949993</v>
      </c>
      <c r="G835" s="151">
        <v>9688.0502232640847</v>
      </c>
      <c r="H835" s="152">
        <f t="shared" si="55"/>
        <v>44.103363318638081</v>
      </c>
    </row>
    <row r="836" spans="1:8">
      <c r="A836" s="153"/>
      <c r="B836" s="154" t="s">
        <v>84</v>
      </c>
      <c r="C836" s="150">
        <v>7267.4230046471803</v>
      </c>
      <c r="D836" s="151">
        <v>18538.071</v>
      </c>
      <c r="E836" s="151">
        <v>11229.408822250003</v>
      </c>
      <c r="F836" s="151">
        <v>5168.0545450397494</v>
      </c>
      <c r="G836" s="151">
        <v>8576.9264407265182</v>
      </c>
      <c r="H836" s="152">
        <f t="shared" si="55"/>
        <v>39.202692689261895</v>
      </c>
    </row>
    <row r="837" spans="1:8">
      <c r="A837" s="153"/>
      <c r="B837" s="154" t="s">
        <v>86</v>
      </c>
      <c r="C837" s="150">
        <v>7008.4596426560602</v>
      </c>
      <c r="D837" s="151">
        <v>18538.071</v>
      </c>
      <c r="E837" s="151">
        <v>10432.212868399996</v>
      </c>
      <c r="F837" s="151">
        <v>4785.5655401029526</v>
      </c>
      <c r="G837" s="151">
        <v>7781.2152055584493</v>
      </c>
      <c r="H837" s="152">
        <f t="shared" si="55"/>
        <v>37.805765457776381</v>
      </c>
    </row>
    <row r="838" spans="1:8">
      <c r="A838" s="153"/>
      <c r="B838" s="154" t="s">
        <v>87</v>
      </c>
      <c r="C838" s="150">
        <v>7614.13469651794</v>
      </c>
      <c r="D838" s="151">
        <v>18538.071</v>
      </c>
      <c r="E838" s="151">
        <v>10126.464060649998</v>
      </c>
      <c r="F838" s="151">
        <v>4514.7712603624032</v>
      </c>
      <c r="G838" s="151">
        <v>7613.3641368904337</v>
      </c>
      <c r="H838" s="152">
        <f t="shared" si="55"/>
        <v>41.07296113235266</v>
      </c>
    </row>
    <row r="839" spans="1:8">
      <c r="A839" s="153"/>
      <c r="B839" s="154" t="s">
        <v>88</v>
      </c>
      <c r="C839" s="150">
        <v>9142.8206733039697</v>
      </c>
      <c r="D839" s="151">
        <v>18538.071</v>
      </c>
      <c r="E839" s="151">
        <v>11273.481864499998</v>
      </c>
      <c r="F839" s="151">
        <v>4824.0998959000008</v>
      </c>
      <c r="G839" s="151">
        <v>7991.0891993394935</v>
      </c>
      <c r="H839" s="152">
        <f t="shared" si="55"/>
        <v>49.319158791138349</v>
      </c>
    </row>
    <row r="840" spans="1:8">
      <c r="A840" s="153"/>
      <c r="B840" s="154" t="s">
        <v>89</v>
      </c>
      <c r="C840" s="150">
        <v>9446.2258304710394</v>
      </c>
      <c r="D840" s="151">
        <v>18538.071</v>
      </c>
      <c r="E840" s="151">
        <v>13151.183606699993</v>
      </c>
      <c r="F840" s="151">
        <v>5306.2445997000004</v>
      </c>
      <c r="G840" s="151">
        <v>8518.007405024804</v>
      </c>
      <c r="H840" s="152">
        <f t="shared" si="55"/>
        <v>50.955818598769199</v>
      </c>
    </row>
    <row r="841" spans="1:8">
      <c r="A841" s="153">
        <v>2024</v>
      </c>
      <c r="B841" s="154" t="s">
        <v>90</v>
      </c>
      <c r="C841" s="150">
        <v>10688.2040657137</v>
      </c>
      <c r="D841" s="151">
        <v>18538.071</v>
      </c>
      <c r="E841" s="151">
        <v>13045.226951500001</v>
      </c>
      <c r="F841" s="151">
        <v>5495.1702926999978</v>
      </c>
      <c r="G841" s="151">
        <v>9256.8070597800142</v>
      </c>
      <c r="H841" s="152">
        <f t="shared" si="55"/>
        <v>57.655427394326523</v>
      </c>
    </row>
    <row r="842" spans="1:8">
      <c r="A842" s="153"/>
      <c r="B842" s="154" t="s">
        <v>82</v>
      </c>
      <c r="C842" s="150">
        <v>11221.4886575035</v>
      </c>
      <c r="D842" s="151">
        <v>18538.071</v>
      </c>
      <c r="E842" s="151">
        <v>13556.135233550001</v>
      </c>
      <c r="F842" s="151">
        <v>5633.2263627000011</v>
      </c>
      <c r="G842" s="151">
        <v>9899.4168212792774</v>
      </c>
      <c r="H842" s="152">
        <f t="shared" si="55"/>
        <v>60.532126872874201</v>
      </c>
    </row>
    <row r="843" spans="1:8">
      <c r="A843" s="153"/>
      <c r="B843" s="154" t="s">
        <v>83</v>
      </c>
      <c r="C843" s="150">
        <v>13037.077126418901</v>
      </c>
      <c r="D843" s="151">
        <v>18538.071</v>
      </c>
      <c r="E843" s="151">
        <v>13961.2765736</v>
      </c>
      <c r="F843" s="151">
        <v>6078.193415849998</v>
      </c>
      <c r="G843" s="151">
        <v>10511.775118190948</v>
      </c>
      <c r="H843" s="152">
        <f t="shared" si="55"/>
        <v>70.325963938852652</v>
      </c>
    </row>
    <row r="844" spans="1:8">
      <c r="A844" s="153"/>
      <c r="B844" s="154" t="s">
        <v>84</v>
      </c>
      <c r="C844" s="150">
        <v>13948.444329464</v>
      </c>
      <c r="D844" s="151">
        <v>18538.071</v>
      </c>
      <c r="E844" s="151">
        <v>14096.665781349997</v>
      </c>
      <c r="F844" s="151">
        <v>7320.4817357141919</v>
      </c>
      <c r="G844" s="151">
        <v>11066.351444386546</v>
      </c>
      <c r="H844" s="152">
        <f t="shared" si="55"/>
        <v>75.242156152406579</v>
      </c>
    </row>
    <row r="845" spans="1:8">
      <c r="A845" s="153"/>
      <c r="B845" s="154" t="s">
        <v>83</v>
      </c>
      <c r="C845" s="150">
        <v>14172.663355012501</v>
      </c>
      <c r="D845" s="151">
        <v>18538.071</v>
      </c>
      <c r="E845" s="151">
        <v>14273.023168700001</v>
      </c>
      <c r="F845" s="151">
        <v>7374.8342840723762</v>
      </c>
      <c r="G845" s="151">
        <v>11196.411789447282</v>
      </c>
      <c r="H845" s="152">
        <f t="shared" si="55"/>
        <v>76.451661853126467</v>
      </c>
    </row>
    <row r="846" spans="1:8">
      <c r="A846" s="153"/>
      <c r="B846" s="154" t="s">
        <v>85</v>
      </c>
      <c r="C846" s="150">
        <v>13422.185926005801</v>
      </c>
      <c r="D846" s="151">
        <v>18538.071</v>
      </c>
      <c r="E846" s="151">
        <v>14033.682326700004</v>
      </c>
      <c r="F846" s="151">
        <v>6824.7202014883251</v>
      </c>
      <c r="G846" s="151">
        <v>10706.264048059809</v>
      </c>
      <c r="H846" s="152">
        <f t="shared" si="55"/>
        <v>72.403358073263405</v>
      </c>
    </row>
    <row r="847" spans="1:8">
      <c r="A847" s="153"/>
      <c r="B847" s="154" t="s">
        <v>85</v>
      </c>
      <c r="C847" s="150">
        <v>11989.9537651518</v>
      </c>
      <c r="D847" s="151">
        <v>18538.071</v>
      </c>
      <c r="E847" s="151">
        <v>12637.876730299991</v>
      </c>
      <c r="F847" s="151">
        <v>5968.7575210041769</v>
      </c>
      <c r="G847" s="151">
        <v>9551.05530403394</v>
      </c>
      <c r="H847" s="152">
        <f t="shared" si="55"/>
        <v>64.677461668756152</v>
      </c>
    </row>
    <row r="848" spans="1:8">
      <c r="A848" s="153"/>
      <c r="B848" s="154" t="s">
        <v>84</v>
      </c>
      <c r="C848" s="150">
        <v>10414.1239856706</v>
      </c>
      <c r="D848" s="151">
        <v>18538.071</v>
      </c>
      <c r="E848" s="151">
        <v>11303.085258200004</v>
      </c>
      <c r="F848" s="151">
        <v>5213.6904483732833</v>
      </c>
      <c r="G848" s="151">
        <v>8444.0754629588773</v>
      </c>
      <c r="H848" s="152">
        <f t="shared" si="55"/>
        <v>56.176955982478439</v>
      </c>
    </row>
    <row r="849" spans="1:10">
      <c r="A849" s="153"/>
      <c r="B849" s="154" t="s">
        <v>86</v>
      </c>
      <c r="C849" s="150">
        <v>9721.2123072402792</v>
      </c>
      <c r="D849" s="151">
        <v>18538.071</v>
      </c>
      <c r="E849" s="151">
        <v>10503.954605199997</v>
      </c>
      <c r="F849" s="151">
        <v>4801.527965628522</v>
      </c>
      <c r="G849" s="151">
        <v>7672.7940631912497</v>
      </c>
      <c r="H849" s="152">
        <f t="shared" si="55"/>
        <v>52.439179390564853</v>
      </c>
    </row>
    <row r="850" spans="1:10">
      <c r="A850" s="153"/>
      <c r="B850" s="154" t="s">
        <v>87</v>
      </c>
      <c r="C850" s="150">
        <v>10172.0387333156</v>
      </c>
      <c r="D850" s="151">
        <v>18538.071</v>
      </c>
      <c r="E850" s="151">
        <v>10198.405590699997</v>
      </c>
      <c r="F850" s="151">
        <v>4538.6333860624027</v>
      </c>
      <c r="G850" s="151">
        <v>7534.5096632163304</v>
      </c>
      <c r="H850" s="152">
        <f t="shared" si="55"/>
        <v>54.871074413921491</v>
      </c>
    </row>
    <row r="851" spans="1:10">
      <c r="A851" s="153"/>
      <c r="B851" s="154" t="s">
        <v>88</v>
      </c>
      <c r="C851" s="150">
        <v>9729.7201887363699</v>
      </c>
      <c r="D851" s="151">
        <v>18538.071</v>
      </c>
      <c r="E851" s="151">
        <v>11298.787227399998</v>
      </c>
      <c r="F851" s="151">
        <v>4803.1739069499999</v>
      </c>
      <c r="G851" s="151">
        <v>7935.87371500469</v>
      </c>
      <c r="H851" s="152">
        <f t="shared" si="55"/>
        <v>52.485073494088837</v>
      </c>
    </row>
    <row r="852" spans="1:10">
      <c r="A852" s="153"/>
      <c r="B852" s="154" t="s">
        <v>89</v>
      </c>
      <c r="C852" s="150">
        <v>9697.9008206068702</v>
      </c>
      <c r="D852" s="151">
        <v>18538.071</v>
      </c>
      <c r="E852" s="151">
        <v>13090.208641149995</v>
      </c>
      <c r="F852" s="151">
        <v>5281.5086990000018</v>
      </c>
      <c r="G852" s="151">
        <v>8466.130292548356</v>
      </c>
      <c r="H852" s="152">
        <f t="shared" si="55"/>
        <v>52.313430133085959</v>
      </c>
    </row>
    <row r="853" spans="1:10">
      <c r="A853" s="153">
        <v>2025</v>
      </c>
      <c r="B853" s="154" t="s">
        <v>90</v>
      </c>
      <c r="C853" s="150">
        <v>10662.1502703717</v>
      </c>
      <c r="D853" s="151">
        <v>18538.071</v>
      </c>
      <c r="E853" s="151">
        <v>13050.214167650001</v>
      </c>
      <c r="F853" s="151">
        <v>5504.2420896999975</v>
      </c>
      <c r="G853" s="151">
        <v>9240.0485735656985</v>
      </c>
      <c r="H853" s="152">
        <f t="shared" si="55"/>
        <v>57.514885288613357</v>
      </c>
    </row>
    <row r="854" spans="1:10">
      <c r="A854" s="153"/>
      <c r="B854" s="154" t="s">
        <v>82</v>
      </c>
      <c r="C854" s="150">
        <v>11118.121739063799</v>
      </c>
      <c r="D854" s="151">
        <v>18538.071</v>
      </c>
      <c r="E854" s="151">
        <v>13624.617678250001</v>
      </c>
      <c r="F854" s="151">
        <v>5651.4148640500007</v>
      </c>
      <c r="G854" s="151">
        <v>9933.6137851544518</v>
      </c>
      <c r="H854" s="152">
        <f t="shared" si="55"/>
        <v>59.974534238561283</v>
      </c>
    </row>
    <row r="855" spans="1:10">
      <c r="A855" s="153"/>
      <c r="B855" s="154" t="s">
        <v>83</v>
      </c>
      <c r="C855" s="150">
        <v>13574.769505443999</v>
      </c>
      <c r="D855" s="151">
        <v>18538.071</v>
      </c>
      <c r="E855" s="151">
        <v>13992.496025999999</v>
      </c>
      <c r="F855" s="151">
        <v>6141.9985181999982</v>
      </c>
      <c r="G855" s="151">
        <v>10635.40697301189</v>
      </c>
      <c r="H855" s="152">
        <f>C855/D855*100</f>
        <v>73.226440363962354</v>
      </c>
    </row>
    <row r="856" spans="1:10">
      <c r="A856" s="153"/>
      <c r="B856" s="154" t="s">
        <v>84</v>
      </c>
      <c r="C856" s="150">
        <v>14969.985800696601</v>
      </c>
      <c r="D856" s="151">
        <v>18538.071</v>
      </c>
      <c r="E856" s="151">
        <v>14145.338313449998</v>
      </c>
      <c r="F856" s="151">
        <v>7373.7900835712881</v>
      </c>
      <c r="G856" s="151">
        <v>11219.686175859746</v>
      </c>
      <c r="H856" s="152">
        <f>C856/D856*100</f>
        <v>80.752661917718413</v>
      </c>
    </row>
    <row r="857" spans="1:10">
      <c r="A857" s="153"/>
      <c r="B857" s="154" t="s">
        <v>83</v>
      </c>
      <c r="C857" s="150">
        <v>15463.717740821099</v>
      </c>
      <c r="D857" s="151">
        <v>18538.071</v>
      </c>
      <c r="E857" s="151">
        <v>14312.444584950004</v>
      </c>
      <c r="F857" s="151">
        <v>7424.6635651085671</v>
      </c>
      <c r="G857" s="151">
        <v>11351.635380197906</v>
      </c>
      <c r="H857" s="152">
        <f t="shared" ref="H857:H862" si="56">C857/D857*100</f>
        <v>83.416002349009773</v>
      </c>
    </row>
    <row r="858" spans="1:10">
      <c r="A858" s="153"/>
      <c r="B858" s="154" t="s">
        <v>85</v>
      </c>
      <c r="C858" s="150">
        <v>14590.258003320499</v>
      </c>
      <c r="D858" s="151">
        <v>18538.071</v>
      </c>
      <c r="E858" s="151">
        <v>14091.073935750002</v>
      </c>
      <c r="F858" s="151">
        <v>6876.9333810580165</v>
      </c>
      <c r="G858" s="151">
        <v>10855.515463360101</v>
      </c>
      <c r="H858" s="152">
        <f t="shared" si="56"/>
        <v>78.704294547801112</v>
      </c>
    </row>
    <row r="859" spans="1:10">
      <c r="A859" s="153"/>
      <c r="B859" s="154" t="s">
        <v>85</v>
      </c>
      <c r="C859" s="150">
        <v>13127.2878467726</v>
      </c>
      <c r="D859" s="151">
        <v>18538.071</v>
      </c>
      <c r="E859" s="151">
        <v>12713.374596749991</v>
      </c>
      <c r="F859" s="151">
        <v>6022.3486215133544</v>
      </c>
      <c r="G859" s="151">
        <v>9681.0422432915329</v>
      </c>
      <c r="H859" s="152">
        <f t="shared" si="56"/>
        <v>70.812588034497224</v>
      </c>
    </row>
    <row r="860" spans="1:10">
      <c r="A860" s="153"/>
      <c r="B860" s="154" t="s">
        <v>84</v>
      </c>
      <c r="C860" s="150">
        <v>11592.3052743925</v>
      </c>
      <c r="D860" s="151">
        <v>18538.071</v>
      </c>
      <c r="E860" s="151">
        <v>11376.761694150005</v>
      </c>
      <c r="F860" s="151">
        <v>5259.3263517068171</v>
      </c>
      <c r="G860" s="151">
        <v>8548.0662227424091</v>
      </c>
      <c r="H860" s="152">
        <f t="shared" si="56"/>
        <v>62.532424621701466</v>
      </c>
    </row>
    <row r="861" spans="1:10">
      <c r="A861" s="153"/>
      <c r="B861" s="154" t="s">
        <v>86</v>
      </c>
      <c r="C861" s="150">
        <v>10461.9403252879</v>
      </c>
      <c r="D861" s="151">
        <v>18538.071</v>
      </c>
      <c r="E861" s="151">
        <v>10575.696341999996</v>
      </c>
      <c r="F861" s="151">
        <v>4817.4903911540914</v>
      </c>
      <c r="G861" s="151">
        <v>7777.3659905532668</v>
      </c>
      <c r="H861" s="152">
        <f t="shared" si="56"/>
        <v>56.434891878922564</v>
      </c>
    </row>
    <row r="862" spans="1:10">
      <c r="A862" s="153"/>
      <c r="B862" s="154" t="s">
        <v>87</v>
      </c>
      <c r="C862" s="150">
        <v>9269.4509272739197</v>
      </c>
      <c r="D862" s="151">
        <v>18538.071</v>
      </c>
      <c r="E862" s="151">
        <v>10270.347120749997</v>
      </c>
      <c r="F862" s="151">
        <v>4562.4955117624031</v>
      </c>
      <c r="G862" s="151">
        <v>7669.2419293821104</v>
      </c>
      <c r="H862" s="152">
        <f t="shared" si="56"/>
        <v>50.002240941217238</v>
      </c>
    </row>
    <row r="863" spans="1:10">
      <c r="A863" s="153"/>
      <c r="B863" s="154" t="s">
        <v>88</v>
      </c>
      <c r="C863" s="150">
        <v>9715.8772375052595</v>
      </c>
      <c r="D863" s="151">
        <v>18538.071</v>
      </c>
      <c r="E863" s="151">
        <v>11324.092590299999</v>
      </c>
      <c r="F863" s="151">
        <v>4782.2479179999991</v>
      </c>
      <c r="G863" s="151">
        <v>8062.114649941509</v>
      </c>
      <c r="H863" s="152">
        <f>C863/D863*100</f>
        <v>52.410400399832646</v>
      </c>
    </row>
    <row r="864" spans="1:10">
      <c r="A864" s="153"/>
      <c r="B864" s="154" t="s">
        <v>89</v>
      </c>
      <c r="C864" s="150">
        <v>9727.3064663853402</v>
      </c>
      <c r="D864" s="151">
        <v>18538.071</v>
      </c>
      <c r="E864" s="151">
        <v>13029.233675599995</v>
      </c>
      <c r="F864" s="151">
        <v>5256.7727983000023</v>
      </c>
      <c r="G864" s="151">
        <v>8582.1752510786991</v>
      </c>
      <c r="H864" s="152">
        <f t="shared" ref="H864" si="57">C864/D864*100</f>
        <v>52.472053140725052</v>
      </c>
      <c r="I864" s="44"/>
      <c r="J864" s="44"/>
    </row>
    <row r="865" spans="1:12">
      <c r="A865" s="153">
        <v>2026</v>
      </c>
      <c r="B865" s="154" t="s">
        <v>90</v>
      </c>
      <c r="C865" s="150">
        <v>10759.7257365845</v>
      </c>
      <c r="D865" s="151">
        <v>18538.071</v>
      </c>
      <c r="E865" s="151">
        <v>13055.201383800002</v>
      </c>
      <c r="F865" s="151">
        <v>5513.3138866999971</v>
      </c>
      <c r="G865" s="151">
        <v>9387.5497485383858</v>
      </c>
      <c r="H865" s="152">
        <f t="shared" ref="H865" si="58">C865/D865*100</f>
        <v>58.041237066059892</v>
      </c>
      <c r="I865" s="44">
        <f t="shared" ref="I865" si="59">H865-H864</f>
        <v>5.5691839253348405</v>
      </c>
      <c r="J865" s="44">
        <f t="shared" ref="J865" si="60">H865-H853</f>
        <v>0.52635177744653561</v>
      </c>
      <c r="L865" s="298"/>
    </row>
    <row r="866" spans="1:12">
      <c r="A866" s="153"/>
      <c r="B866" s="154" t="s">
        <v>82</v>
      </c>
      <c r="C866" s="150">
        <v>15394.489470935299</v>
      </c>
      <c r="D866" s="151">
        <v>18538.071</v>
      </c>
      <c r="E866" s="151">
        <v>13693.10012295</v>
      </c>
      <c r="F866" s="151">
        <v>5669.6033654000021</v>
      </c>
      <c r="G866" s="151">
        <v>10113.442127169708</v>
      </c>
      <c r="H866" s="152">
        <f t="shared" ref="H866" si="61">C866/D866*100</f>
        <v>83.042563980552771</v>
      </c>
      <c r="I866" s="44">
        <f t="shared" ref="I866" si="62">H866-H865</f>
        <v>25.001326914492878</v>
      </c>
      <c r="J866" s="44">
        <f t="shared" ref="J866" si="63">H866-H854</f>
        <v>23.068029741991488</v>
      </c>
      <c r="L866" s="298"/>
    </row>
    <row r="867" spans="1:12">
      <c r="A867" s="153"/>
      <c r="B867" s="154" t="s">
        <v>83</v>
      </c>
      <c r="C867" s="150">
        <v>15166.1369514669</v>
      </c>
      <c r="D867" s="151">
        <v>18538.071</v>
      </c>
      <c r="E867" s="151">
        <v>14023.715478399998</v>
      </c>
      <c r="F867" s="151">
        <v>6205.8036205499984</v>
      </c>
      <c r="G867" s="151">
        <v>10933.860892813562</v>
      </c>
      <c r="H867" s="152">
        <f t="shared" ref="H867" si="64">C867/D867*100</f>
        <v>81.81076095493917</v>
      </c>
      <c r="I867" s="44">
        <f t="shared" ref="I867" si="65">H867-H866</f>
        <v>-1.2318030256136012</v>
      </c>
      <c r="J867" s="44">
        <f t="shared" ref="J867" si="66">H867-H855</f>
        <v>8.5843205909768159</v>
      </c>
      <c r="L867" s="298"/>
    </row>
    <row r="868" spans="1:12">
      <c r="A868" s="153"/>
      <c r="B868" s="154" t="s">
        <v>84</v>
      </c>
      <c r="C868" s="150">
        <v>15285.430259717399</v>
      </c>
      <c r="D868" s="151">
        <v>18538.071</v>
      </c>
      <c r="E868" s="151">
        <v>14221.481717984827</v>
      </c>
      <c r="F868" s="151">
        <v>7427.0984314283833</v>
      </c>
      <c r="G868" s="151">
        <v>11560.728199311136</v>
      </c>
      <c r="H868" s="152">
        <f t="shared" ref="H868" si="67">C868/D868*100</f>
        <v>82.454265385634784</v>
      </c>
      <c r="I868" s="44">
        <f t="shared" ref="I868" si="68">H868-H867</f>
        <v>0.64350443069561436</v>
      </c>
      <c r="J868" s="44">
        <f t="shared" ref="J868" si="69">H868-H856</f>
        <v>1.701603467916371</v>
      </c>
      <c r="L868" s="298"/>
    </row>
    <row r="869" spans="1:12">
      <c r="A869" s="153"/>
      <c r="B869" s="154" t="s">
        <v>83</v>
      </c>
      <c r="C869" s="150">
        <v>15302.1163131225</v>
      </c>
      <c r="D869" s="151">
        <v>18538.071</v>
      </c>
      <c r="E869" s="151">
        <v>14398.126186991058</v>
      </c>
      <c r="F869" s="151">
        <v>7474.4928461447562</v>
      </c>
      <c r="G869" s="151">
        <v>11713.368406964093</v>
      </c>
      <c r="H869" s="152">
        <f t="shared" ref="H869" si="70">C869/D869*100</f>
        <v>82.544275038770223</v>
      </c>
      <c r="I869" s="44">
        <f>H869-H868</f>
        <v>9.0009653135439294E-2</v>
      </c>
      <c r="J869" s="44">
        <f t="shared" ref="J869" si="71">H869-H857</f>
        <v>-0.87172731023954952</v>
      </c>
      <c r="L869" s="298"/>
    </row>
    <row r="870" spans="1:12">
      <c r="A870" s="153"/>
      <c r="B870" s="154" t="s">
        <v>85</v>
      </c>
      <c r="C870" s="150">
        <v>14187.375105708999</v>
      </c>
      <c r="D870" s="151">
        <v>18538.071</v>
      </c>
      <c r="E870" s="151">
        <v>14159.076845916028</v>
      </c>
      <c r="F870" s="151">
        <v>6929.146560627707</v>
      </c>
      <c r="G870" s="151">
        <v>11207.999591976655</v>
      </c>
      <c r="H870" s="152">
        <f t="shared" ref="H870" si="72">C870/D870*100</f>
        <v>76.531021516256999</v>
      </c>
      <c r="I870" s="44">
        <f>H870-H869</f>
        <v>-6.0132535225132244</v>
      </c>
      <c r="J870" s="44">
        <f t="shared" ref="J870" si="73">H870-H858</f>
        <v>-2.1732730315441131</v>
      </c>
      <c r="L870" s="298"/>
    </row>
    <row r="871" spans="1:12">
      <c r="A871" s="153"/>
      <c r="B871" s="154" t="s">
        <v>85</v>
      </c>
      <c r="C871" s="150"/>
      <c r="D871" s="151">
        <v>18538.071</v>
      </c>
      <c r="E871" s="151">
        <v>12790.69365908862</v>
      </c>
      <c r="F871" s="151">
        <v>6075.9397220225319</v>
      </c>
      <c r="G871" s="151">
        <v>10004.430496346473</v>
      </c>
      <c r="H871" s="152"/>
      <c r="I871" s="44"/>
      <c r="J871" s="44"/>
      <c r="L871" s="298"/>
    </row>
    <row r="872" spans="1:12">
      <c r="A872" s="153"/>
      <c r="B872" s="154" t="s">
        <v>84</v>
      </c>
      <c r="C872" s="150"/>
      <c r="D872" s="151">
        <v>18538.071</v>
      </c>
      <c r="E872" s="151">
        <v>11450.438130100005</v>
      </c>
      <c r="F872" s="151">
        <v>5304.9622550403501</v>
      </c>
      <c r="G872" s="151">
        <v>8837.0421055040006</v>
      </c>
      <c r="H872" s="152"/>
      <c r="I872" s="44"/>
      <c r="J872" s="44"/>
      <c r="L872" s="298"/>
    </row>
    <row r="873" spans="1:12">
      <c r="A873" s="153"/>
      <c r="B873" s="154" t="s">
        <v>86</v>
      </c>
      <c r="C873" s="150"/>
      <c r="D873" s="151">
        <v>18538.071</v>
      </c>
      <c r="E873" s="151">
        <v>10647.438078799994</v>
      </c>
      <c r="F873" s="151">
        <v>4833.4528166796608</v>
      </c>
      <c r="G873" s="151">
        <v>8031.6559760289692</v>
      </c>
      <c r="H873" s="152"/>
      <c r="I873" s="44"/>
      <c r="J873" s="44"/>
      <c r="L873" s="298"/>
    </row>
    <row r="874" spans="1:12">
      <c r="A874" s="153"/>
      <c r="B874" s="154" t="s">
        <v>87</v>
      </c>
      <c r="C874" s="150"/>
      <c r="D874" s="151">
        <v>18538.071</v>
      </c>
      <c r="E874" s="151">
        <v>10342.288650799997</v>
      </c>
      <c r="F874" s="151">
        <v>4586.3576374624035</v>
      </c>
      <c r="G874" s="151">
        <v>7850.7732426646035</v>
      </c>
      <c r="H874" s="152"/>
      <c r="I874" s="44"/>
      <c r="J874" s="44"/>
      <c r="L874" s="298"/>
    </row>
    <row r="875" spans="1:12">
      <c r="A875" s="153"/>
      <c r="B875" s="154" t="s">
        <v>88</v>
      </c>
      <c r="C875" s="150"/>
      <c r="D875" s="151">
        <v>18538.071</v>
      </c>
      <c r="E875" s="151">
        <v>11349.397953199998</v>
      </c>
      <c r="F875" s="151">
        <v>4761.3219290500001</v>
      </c>
      <c r="G875" s="151">
        <v>8242.684402668152</v>
      </c>
      <c r="H875" s="152"/>
      <c r="I875" s="44"/>
      <c r="J875" s="44"/>
      <c r="L875" s="298"/>
    </row>
    <row r="876" spans="1:12">
      <c r="A876" s="153"/>
      <c r="B876" s="154" t="s">
        <v>89</v>
      </c>
      <c r="C876" s="150"/>
      <c r="D876" s="151">
        <v>18538.071</v>
      </c>
      <c r="E876" s="151">
        <v>12968.258710049995</v>
      </c>
      <c r="F876" s="151">
        <v>5232.0368976000027</v>
      </c>
      <c r="G876" s="151">
        <v>8735.6141096297906</v>
      </c>
      <c r="H876" s="152"/>
      <c r="I876" s="44"/>
      <c r="J876" s="44"/>
      <c r="L876" s="298"/>
    </row>
  </sheetData>
  <mergeCells count="82">
    <mergeCell ref="AU1:CM1"/>
    <mergeCell ref="B1:AT1"/>
    <mergeCell ref="JL1:LD1"/>
    <mergeCell ref="HS1:JK1"/>
    <mergeCell ref="FZ1:HR1"/>
    <mergeCell ref="EG1:FY1"/>
    <mergeCell ref="CN1:EF1"/>
    <mergeCell ref="SC1:TU1"/>
    <mergeCell ref="QJ1:SB1"/>
    <mergeCell ref="OQ1:QI1"/>
    <mergeCell ref="MX1:OP1"/>
    <mergeCell ref="LE1:MW1"/>
    <mergeCell ref="A35:A36"/>
    <mergeCell ref="B2:J2"/>
    <mergeCell ref="K2:S2"/>
    <mergeCell ref="A43:A45"/>
    <mergeCell ref="A40:A42"/>
    <mergeCell ref="E815:G815"/>
    <mergeCell ref="HS2:IA2"/>
    <mergeCell ref="IB2:IJ2"/>
    <mergeCell ref="IK2:IS2"/>
    <mergeCell ref="IT2:JB2"/>
    <mergeCell ref="FH2:FP2"/>
    <mergeCell ref="FQ2:FY2"/>
    <mergeCell ref="CN2:CV2"/>
    <mergeCell ref="CW2:DE2"/>
    <mergeCell ref="DF2:DN2"/>
    <mergeCell ref="DO2:DW2"/>
    <mergeCell ref="DX2:EF2"/>
    <mergeCell ref="EG2:EO2"/>
    <mergeCell ref="T2:AB2"/>
    <mergeCell ref="AC2:AK2"/>
    <mergeCell ref="AL2:AT2"/>
    <mergeCell ref="JC2:JK2"/>
    <mergeCell ref="JL2:JT2"/>
    <mergeCell ref="JU2:KC2"/>
    <mergeCell ref="KD2:KL2"/>
    <mergeCell ref="KM2:KU2"/>
    <mergeCell ref="KV2:LD2"/>
    <mergeCell ref="LE2:LM2"/>
    <mergeCell ref="LN2:LV2"/>
    <mergeCell ref="LW2:ME2"/>
    <mergeCell ref="MF2:MN2"/>
    <mergeCell ref="MO2:MW2"/>
    <mergeCell ref="MX2:NF2"/>
    <mergeCell ref="NG2:NO2"/>
    <mergeCell ref="NP2:NX2"/>
    <mergeCell ref="NY2:OG2"/>
    <mergeCell ref="OH2:OP2"/>
    <mergeCell ref="OQ2:OY2"/>
    <mergeCell ref="OZ2:PH2"/>
    <mergeCell ref="PI2:PQ2"/>
    <mergeCell ref="PR2:PZ2"/>
    <mergeCell ref="TD2:TL2"/>
    <mergeCell ref="QA2:QI2"/>
    <mergeCell ref="QJ2:QR2"/>
    <mergeCell ref="QS2:RA2"/>
    <mergeCell ref="RB2:RJ2"/>
    <mergeCell ref="RK2:RS2"/>
    <mergeCell ref="VF2:VN2"/>
    <mergeCell ref="TV1:VN1"/>
    <mergeCell ref="FZ2:GH2"/>
    <mergeCell ref="GI2:GQ2"/>
    <mergeCell ref="GR2:GZ2"/>
    <mergeCell ref="HA2:HI2"/>
    <mergeCell ref="HJ2:HR2"/>
    <mergeCell ref="TM2:TU2"/>
    <mergeCell ref="TV2:UD2"/>
    <mergeCell ref="UE2:UM2"/>
    <mergeCell ref="UN2:UV2"/>
    <mergeCell ref="UW2:VE2"/>
    <mergeCell ref="RT2:SB2"/>
    <mergeCell ref="SC2:SK2"/>
    <mergeCell ref="SL2:ST2"/>
    <mergeCell ref="SU2:TC2"/>
    <mergeCell ref="EP2:EX2"/>
    <mergeCell ref="EY2:FG2"/>
    <mergeCell ref="AU2:BC2"/>
    <mergeCell ref="BD2:BL2"/>
    <mergeCell ref="BM2:BU2"/>
    <mergeCell ref="BV2:CD2"/>
    <mergeCell ref="CE2:CM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8B6-D783-4C61-9AE9-F24AA47FB6BB}">
  <sheetPr codeName="Hoja31"/>
  <dimension ref="A1:I806"/>
  <sheetViews>
    <sheetView zoomScale="96" zoomScaleNormal="96" workbookViewId="0">
      <selection activeCell="A762" sqref="A762:E762"/>
    </sheetView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56" t="s">
        <v>180</v>
      </c>
      <c r="D1" s="256" t="s">
        <v>181</v>
      </c>
    </row>
    <row r="2" spans="1:9">
      <c r="A2" s="232">
        <v>0</v>
      </c>
      <c r="B2" s="233">
        <v>45444</v>
      </c>
      <c r="C2" s="234">
        <v>147.87666700000003</v>
      </c>
      <c r="D2" s="235">
        <v>156.54410505527832</v>
      </c>
      <c r="E2" s="234">
        <f>IF(C2&gt;D2,D2,C2)</f>
        <v>147.87666700000003</v>
      </c>
      <c r="F2" s="237">
        <f>YEAR(B2)</f>
        <v>2024</v>
      </c>
      <c r="G2" s="188"/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45445</v>
      </c>
      <c r="C3" s="234">
        <v>151.50779699999998</v>
      </c>
      <c r="D3" s="235">
        <v>156.54410505527832</v>
      </c>
      <c r="E3" s="234">
        <f>IF(C3&gt;D3,D3,C3)</f>
        <v>151.50779699999998</v>
      </c>
      <c r="F3" s="239"/>
      <c r="G3" s="188" t="str">
        <f t="shared" ref="G3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" si="1">IF(DAY($B3)=15,TEXT(D3,"#,0"),"")</f>
        <v/>
      </c>
      <c r="I3" s="237"/>
    </row>
    <row r="4" spans="1:9">
      <c r="A4" s="232">
        <f t="shared" ref="A4:A67" si="2">+A3+1</f>
        <v>2</v>
      </c>
      <c r="B4" s="233">
        <v>45446</v>
      </c>
      <c r="C4" s="234">
        <v>176.83338599999999</v>
      </c>
      <c r="D4" s="235">
        <v>156.54410505527832</v>
      </c>
      <c r="E4" s="234">
        <f t="shared" ref="E4:E67" si="3">IF(C4&gt;D4,D4,C4)</f>
        <v>156.54410505527832</v>
      </c>
      <c r="F4" s="239"/>
      <c r="G4" s="188" t="str">
        <f t="shared" ref="G4:G67" si="4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  <c r="H4" s="236" t="str">
        <f t="shared" ref="H4:H67" si="5">IF(DAY($B4)=15,TEXT(D4,"#,0"),"")</f>
        <v/>
      </c>
      <c r="I4" s="237"/>
    </row>
    <row r="5" spans="1:9">
      <c r="A5" s="232">
        <f t="shared" si="2"/>
        <v>3</v>
      </c>
      <c r="B5" s="233">
        <v>45447</v>
      </c>
      <c r="C5" s="234">
        <v>189.30363900000003</v>
      </c>
      <c r="D5" s="235">
        <v>156.54410505527832</v>
      </c>
      <c r="E5" s="234">
        <f t="shared" si="3"/>
        <v>156.54410505527832</v>
      </c>
      <c r="F5" s="239"/>
      <c r="G5" s="188" t="str">
        <f t="shared" si="4"/>
        <v/>
      </c>
      <c r="H5" s="236" t="str">
        <f t="shared" si="5"/>
        <v/>
      </c>
      <c r="I5" s="237"/>
    </row>
    <row r="6" spans="1:9">
      <c r="A6" s="232">
        <f t="shared" si="2"/>
        <v>4</v>
      </c>
      <c r="B6" s="233">
        <v>45448</v>
      </c>
      <c r="C6" s="234">
        <v>184.41141099999999</v>
      </c>
      <c r="D6" s="235">
        <v>156.54410505527832</v>
      </c>
      <c r="E6" s="234">
        <f t="shared" si="3"/>
        <v>156.54410505527832</v>
      </c>
      <c r="F6" s="239"/>
      <c r="G6" s="188" t="str">
        <f t="shared" si="4"/>
        <v/>
      </c>
      <c r="H6" s="236" t="str">
        <f t="shared" si="5"/>
        <v/>
      </c>
      <c r="I6" s="237"/>
    </row>
    <row r="7" spans="1:9">
      <c r="A7" s="232">
        <f t="shared" si="2"/>
        <v>5</v>
      </c>
      <c r="B7" s="233">
        <v>45449</v>
      </c>
      <c r="C7" s="234">
        <v>163.438928</v>
      </c>
      <c r="D7" s="235">
        <v>156.54410505527832</v>
      </c>
      <c r="E7" s="234">
        <f t="shared" si="3"/>
        <v>156.54410505527832</v>
      </c>
      <c r="F7" s="239"/>
      <c r="G7" s="188" t="str">
        <f t="shared" si="4"/>
        <v/>
      </c>
      <c r="H7" s="236" t="str">
        <f t="shared" si="5"/>
        <v/>
      </c>
      <c r="I7" s="237"/>
    </row>
    <row r="8" spans="1:9">
      <c r="A8" s="232">
        <f t="shared" si="2"/>
        <v>6</v>
      </c>
      <c r="B8" s="233">
        <v>45450</v>
      </c>
      <c r="C8" s="234">
        <v>133.16868500000001</v>
      </c>
      <c r="D8" s="235">
        <v>156.54410505527832</v>
      </c>
      <c r="E8" s="234">
        <f t="shared" si="3"/>
        <v>133.16868500000001</v>
      </c>
      <c r="F8" s="239"/>
      <c r="G8" s="188" t="str">
        <f t="shared" si="4"/>
        <v/>
      </c>
      <c r="H8" s="236" t="str">
        <f t="shared" si="5"/>
        <v/>
      </c>
      <c r="I8" s="237"/>
    </row>
    <row r="9" spans="1:9">
      <c r="A9" s="232">
        <f t="shared" si="2"/>
        <v>7</v>
      </c>
      <c r="B9" s="233">
        <v>45451</v>
      </c>
      <c r="C9" s="234">
        <v>123.673928</v>
      </c>
      <c r="D9" s="235">
        <v>156.54410505527832</v>
      </c>
      <c r="E9" s="234">
        <f t="shared" si="3"/>
        <v>123.673928</v>
      </c>
      <c r="F9" s="239"/>
      <c r="G9" s="188" t="str">
        <f t="shared" si="4"/>
        <v/>
      </c>
      <c r="H9" s="236" t="str">
        <f t="shared" si="5"/>
        <v/>
      </c>
      <c r="I9" s="237"/>
    </row>
    <row r="10" spans="1:9">
      <c r="A10" s="232">
        <f t="shared" si="2"/>
        <v>8</v>
      </c>
      <c r="B10" s="233">
        <v>45452</v>
      </c>
      <c r="C10" s="234">
        <v>112.13243199999998</v>
      </c>
      <c r="D10" s="235">
        <v>156.54410505527832</v>
      </c>
      <c r="E10" s="234">
        <f t="shared" si="3"/>
        <v>112.13243199999998</v>
      </c>
      <c r="F10" s="239"/>
      <c r="G10" s="188" t="str">
        <f t="shared" si="4"/>
        <v/>
      </c>
      <c r="H10" s="236" t="str">
        <f t="shared" si="5"/>
        <v/>
      </c>
      <c r="I10" s="237"/>
    </row>
    <row r="11" spans="1:9">
      <c r="A11" s="232">
        <f t="shared" si="2"/>
        <v>9</v>
      </c>
      <c r="B11" s="233">
        <v>45453</v>
      </c>
      <c r="C11" s="234">
        <v>123.059034</v>
      </c>
      <c r="D11" s="235">
        <v>156.54410505527832</v>
      </c>
      <c r="E11" s="234">
        <f t="shared" si="3"/>
        <v>123.059034</v>
      </c>
      <c r="F11" s="239"/>
      <c r="G11" s="188" t="str">
        <f t="shared" si="4"/>
        <v/>
      </c>
      <c r="H11" s="236" t="str">
        <f t="shared" si="5"/>
        <v/>
      </c>
      <c r="I11" s="237"/>
    </row>
    <row r="12" spans="1:9">
      <c r="A12" s="232">
        <f t="shared" si="2"/>
        <v>10</v>
      </c>
      <c r="B12" s="233">
        <v>45454</v>
      </c>
      <c r="C12" s="234">
        <v>157.393722</v>
      </c>
      <c r="D12" s="235">
        <v>156.54410505527832</v>
      </c>
      <c r="E12" s="234">
        <f t="shared" si="3"/>
        <v>156.54410505527832</v>
      </c>
      <c r="F12" s="239"/>
      <c r="G12" s="188" t="str">
        <f t="shared" si="4"/>
        <v/>
      </c>
      <c r="H12" s="236" t="str">
        <f t="shared" si="5"/>
        <v/>
      </c>
      <c r="I12" s="237"/>
    </row>
    <row r="13" spans="1:9">
      <c r="A13" s="232">
        <f t="shared" si="2"/>
        <v>11</v>
      </c>
      <c r="B13" s="233">
        <v>45455</v>
      </c>
      <c r="C13" s="234">
        <v>153.54156099999997</v>
      </c>
      <c r="D13" s="235">
        <v>156.54410505527832</v>
      </c>
      <c r="E13" s="234">
        <f t="shared" si="3"/>
        <v>153.54156099999997</v>
      </c>
      <c r="F13" s="239"/>
      <c r="G13" s="188" t="str">
        <f t="shared" si="4"/>
        <v/>
      </c>
      <c r="H13" s="236" t="str">
        <f t="shared" si="5"/>
        <v/>
      </c>
      <c r="I13" s="237"/>
    </row>
    <row r="14" spans="1:9">
      <c r="A14" s="232">
        <f t="shared" si="2"/>
        <v>12</v>
      </c>
      <c r="B14" s="233">
        <v>45456</v>
      </c>
      <c r="C14" s="234">
        <v>178.42045999999999</v>
      </c>
      <c r="D14" s="235">
        <v>156.54410505527832</v>
      </c>
      <c r="E14" s="234">
        <f t="shared" si="3"/>
        <v>156.54410505527832</v>
      </c>
      <c r="F14" s="239"/>
      <c r="G14" s="188" t="str">
        <f t="shared" si="4"/>
        <v/>
      </c>
      <c r="H14" s="236" t="str">
        <f t="shared" si="5"/>
        <v/>
      </c>
      <c r="I14" s="237"/>
    </row>
    <row r="15" spans="1:9">
      <c r="A15" s="232">
        <f t="shared" si="2"/>
        <v>13</v>
      </c>
      <c r="B15" s="233">
        <v>45457</v>
      </c>
      <c r="C15" s="234">
        <v>185.63656800000001</v>
      </c>
      <c r="D15" s="235">
        <v>156.54410505527832</v>
      </c>
      <c r="E15" s="234">
        <f t="shared" si="3"/>
        <v>156.54410505527832</v>
      </c>
      <c r="F15" s="239"/>
      <c r="G15" s="188" t="str">
        <f t="shared" si="4"/>
        <v/>
      </c>
      <c r="H15" s="236" t="str">
        <f t="shared" si="5"/>
        <v/>
      </c>
      <c r="I15" s="237"/>
    </row>
    <row r="16" spans="1:9">
      <c r="A16" s="232">
        <f t="shared" si="2"/>
        <v>14</v>
      </c>
      <c r="B16" s="233">
        <v>45458</v>
      </c>
      <c r="C16" s="234">
        <v>156.48865700000002</v>
      </c>
      <c r="D16" s="235">
        <v>156.54410505527832</v>
      </c>
      <c r="E16" s="234">
        <f t="shared" si="3"/>
        <v>156.48865700000002</v>
      </c>
      <c r="F16" s="239"/>
      <c r="G16" s="188" t="str">
        <f t="shared" si="4"/>
        <v>J</v>
      </c>
      <c r="H16" s="236" t="str">
        <f t="shared" si="5"/>
        <v>156,5</v>
      </c>
      <c r="I16" s="237"/>
    </row>
    <row r="17" spans="1:9">
      <c r="A17" s="232">
        <f t="shared" si="2"/>
        <v>15</v>
      </c>
      <c r="B17" s="233">
        <v>45459</v>
      </c>
      <c r="C17" s="234">
        <v>146.635043</v>
      </c>
      <c r="D17" s="235">
        <v>156.54410505527832</v>
      </c>
      <c r="E17" s="234">
        <f t="shared" si="3"/>
        <v>146.635043</v>
      </c>
      <c r="F17" s="239"/>
      <c r="G17" s="188" t="str">
        <f t="shared" si="4"/>
        <v/>
      </c>
      <c r="H17" s="236" t="str">
        <f t="shared" si="5"/>
        <v/>
      </c>
      <c r="I17" s="188"/>
    </row>
    <row r="18" spans="1:9">
      <c r="A18" s="232">
        <f t="shared" si="2"/>
        <v>16</v>
      </c>
      <c r="B18" s="233">
        <v>45460</v>
      </c>
      <c r="C18" s="234">
        <v>198.71553900000001</v>
      </c>
      <c r="D18" s="235">
        <v>156.54410505527832</v>
      </c>
      <c r="E18" s="234">
        <f t="shared" si="3"/>
        <v>156.54410505527832</v>
      </c>
      <c r="F18" s="239"/>
      <c r="G18" s="188" t="str">
        <f t="shared" si="4"/>
        <v/>
      </c>
      <c r="H18" s="236" t="str">
        <f t="shared" si="5"/>
        <v/>
      </c>
      <c r="I18" s="237"/>
    </row>
    <row r="19" spans="1:9">
      <c r="A19" s="232">
        <f t="shared" si="2"/>
        <v>17</v>
      </c>
      <c r="B19" s="233">
        <v>45461</v>
      </c>
      <c r="C19" s="234">
        <v>143.64317499999999</v>
      </c>
      <c r="D19" s="235">
        <v>156.54410505527832</v>
      </c>
      <c r="E19" s="234">
        <f t="shared" si="3"/>
        <v>143.64317499999999</v>
      </c>
      <c r="F19" s="239"/>
      <c r="G19" s="188" t="str">
        <f t="shared" si="4"/>
        <v/>
      </c>
      <c r="H19" s="236" t="str">
        <f t="shared" si="5"/>
        <v/>
      </c>
      <c r="I19" s="237"/>
    </row>
    <row r="20" spans="1:9">
      <c r="A20" s="232">
        <f t="shared" si="2"/>
        <v>18</v>
      </c>
      <c r="B20" s="233">
        <v>45462</v>
      </c>
      <c r="C20" s="234">
        <v>139.86172399999998</v>
      </c>
      <c r="D20" s="235">
        <v>156.54410505527832</v>
      </c>
      <c r="E20" s="234">
        <f t="shared" si="3"/>
        <v>139.86172399999998</v>
      </c>
      <c r="F20" s="239"/>
      <c r="G20" s="188" t="str">
        <f t="shared" si="4"/>
        <v/>
      </c>
      <c r="H20" s="236" t="str">
        <f t="shared" si="5"/>
        <v/>
      </c>
      <c r="I20" s="237"/>
    </row>
    <row r="21" spans="1:9">
      <c r="A21" s="232">
        <f t="shared" si="2"/>
        <v>19</v>
      </c>
      <c r="B21" s="233">
        <v>45463</v>
      </c>
      <c r="C21" s="234">
        <v>153.71248399999999</v>
      </c>
      <c r="D21" s="235">
        <v>156.54410505527832</v>
      </c>
      <c r="E21" s="234">
        <f t="shared" si="3"/>
        <v>153.71248399999999</v>
      </c>
      <c r="F21" s="239"/>
      <c r="G21" s="188" t="str">
        <f t="shared" si="4"/>
        <v/>
      </c>
      <c r="H21" s="236" t="str">
        <f t="shared" si="5"/>
        <v/>
      </c>
      <c r="I21" s="237"/>
    </row>
    <row r="22" spans="1:9">
      <c r="A22" s="232">
        <f t="shared" si="2"/>
        <v>20</v>
      </c>
      <c r="B22" s="233">
        <v>45464</v>
      </c>
      <c r="C22" s="234">
        <v>201.16819099999998</v>
      </c>
      <c r="D22" s="235">
        <v>156.54410505527832</v>
      </c>
      <c r="E22" s="234">
        <f t="shared" si="3"/>
        <v>156.54410505527832</v>
      </c>
      <c r="F22" s="239"/>
      <c r="G22" s="188" t="str">
        <f t="shared" si="4"/>
        <v/>
      </c>
      <c r="H22" s="236" t="str">
        <f t="shared" si="5"/>
        <v/>
      </c>
      <c r="I22" s="237"/>
    </row>
    <row r="23" spans="1:9">
      <c r="A23" s="232">
        <f t="shared" si="2"/>
        <v>21</v>
      </c>
      <c r="B23" s="233">
        <v>45465</v>
      </c>
      <c r="C23" s="234">
        <v>173.846226</v>
      </c>
      <c r="D23" s="235">
        <v>156.54410505527832</v>
      </c>
      <c r="E23" s="234">
        <f t="shared" si="3"/>
        <v>156.54410505527832</v>
      </c>
      <c r="F23" s="239"/>
      <c r="G23" s="188" t="str">
        <f t="shared" si="4"/>
        <v/>
      </c>
      <c r="H23" s="236" t="str">
        <f t="shared" si="5"/>
        <v/>
      </c>
      <c r="I23" s="237"/>
    </row>
    <row r="24" spans="1:9">
      <c r="A24" s="232">
        <f t="shared" si="2"/>
        <v>22</v>
      </c>
      <c r="B24" s="233">
        <v>45466</v>
      </c>
      <c r="C24" s="234">
        <v>149.951358</v>
      </c>
      <c r="D24" s="235">
        <v>156.54410505527832</v>
      </c>
      <c r="E24" s="234">
        <f t="shared" si="3"/>
        <v>149.951358</v>
      </c>
      <c r="F24" s="239"/>
      <c r="G24" s="188" t="str">
        <f t="shared" si="4"/>
        <v/>
      </c>
      <c r="H24" s="236" t="str">
        <f t="shared" si="5"/>
        <v/>
      </c>
      <c r="I24" s="237"/>
    </row>
    <row r="25" spans="1:9">
      <c r="A25" s="232">
        <f t="shared" si="2"/>
        <v>23</v>
      </c>
      <c r="B25" s="233">
        <v>45467</v>
      </c>
      <c r="C25" s="234">
        <v>191.35134299999999</v>
      </c>
      <c r="D25" s="235">
        <v>156.54410505527832</v>
      </c>
      <c r="E25" s="234">
        <f t="shared" si="3"/>
        <v>156.54410505527832</v>
      </c>
      <c r="F25" s="239"/>
      <c r="G25" s="188" t="str">
        <f t="shared" si="4"/>
        <v/>
      </c>
      <c r="H25" s="236" t="str">
        <f t="shared" si="5"/>
        <v/>
      </c>
      <c r="I25" s="237"/>
    </row>
    <row r="26" spans="1:9">
      <c r="A26" s="232">
        <f t="shared" si="2"/>
        <v>24</v>
      </c>
      <c r="B26" s="233">
        <v>45468</v>
      </c>
      <c r="C26" s="234">
        <v>191.65865400000001</v>
      </c>
      <c r="D26" s="235">
        <v>156.54410505527832</v>
      </c>
      <c r="E26" s="234">
        <f t="shared" si="3"/>
        <v>156.54410505527832</v>
      </c>
      <c r="F26" s="239"/>
      <c r="G26" s="188" t="str">
        <f t="shared" si="4"/>
        <v/>
      </c>
      <c r="H26" s="236" t="str">
        <f t="shared" si="5"/>
        <v/>
      </c>
      <c r="I26" s="237"/>
    </row>
    <row r="27" spans="1:9">
      <c r="A27" s="232">
        <f t="shared" si="2"/>
        <v>25</v>
      </c>
      <c r="B27" s="233">
        <v>45469</v>
      </c>
      <c r="C27" s="234">
        <v>153.04221900000002</v>
      </c>
      <c r="D27" s="235">
        <v>156.54410505527832</v>
      </c>
      <c r="E27" s="234">
        <f t="shared" si="3"/>
        <v>153.04221900000002</v>
      </c>
      <c r="F27" s="239"/>
      <c r="G27" s="188" t="str">
        <f t="shared" si="4"/>
        <v/>
      </c>
      <c r="H27" s="236" t="str">
        <f t="shared" si="5"/>
        <v/>
      </c>
      <c r="I27" s="237"/>
    </row>
    <row r="28" spans="1:9">
      <c r="A28" s="232">
        <f t="shared" si="2"/>
        <v>26</v>
      </c>
      <c r="B28" s="233">
        <v>45470</v>
      </c>
      <c r="C28" s="234">
        <v>143.51155800000001</v>
      </c>
      <c r="D28" s="235">
        <v>156.54410505527832</v>
      </c>
      <c r="E28" s="234">
        <f t="shared" si="3"/>
        <v>143.51155800000001</v>
      </c>
      <c r="F28" s="239"/>
      <c r="G28" s="188" t="str">
        <f t="shared" si="4"/>
        <v/>
      </c>
      <c r="H28" s="236" t="str">
        <f t="shared" si="5"/>
        <v/>
      </c>
      <c r="I28" s="237"/>
    </row>
    <row r="29" spans="1:9">
      <c r="A29" s="232">
        <f t="shared" si="2"/>
        <v>27</v>
      </c>
      <c r="B29" s="233">
        <v>45471</v>
      </c>
      <c r="C29" s="234">
        <v>121.09355000000001</v>
      </c>
      <c r="D29" s="235">
        <v>156.54410505527832</v>
      </c>
      <c r="E29" s="234">
        <f t="shared" si="3"/>
        <v>121.09355000000001</v>
      </c>
      <c r="F29" s="239"/>
      <c r="G29" s="188" t="str">
        <f t="shared" si="4"/>
        <v/>
      </c>
      <c r="H29" s="236" t="str">
        <f t="shared" si="5"/>
        <v/>
      </c>
      <c r="I29" s="237"/>
    </row>
    <row r="30" spans="1:9">
      <c r="A30" s="232">
        <f t="shared" si="2"/>
        <v>28</v>
      </c>
      <c r="B30" s="233">
        <v>45472</v>
      </c>
      <c r="C30" s="234">
        <v>102.74132399999999</v>
      </c>
      <c r="D30" s="235">
        <v>156.54410505527832</v>
      </c>
      <c r="E30" s="234">
        <f t="shared" si="3"/>
        <v>102.74132399999999</v>
      </c>
      <c r="F30" s="239"/>
      <c r="G30" s="188" t="str">
        <f t="shared" si="4"/>
        <v/>
      </c>
      <c r="H30" s="236" t="str">
        <f t="shared" si="5"/>
        <v/>
      </c>
      <c r="I30" s="237"/>
    </row>
    <row r="31" spans="1:9">
      <c r="A31" s="232">
        <f t="shared" si="2"/>
        <v>29</v>
      </c>
      <c r="B31" s="233">
        <v>45473</v>
      </c>
      <c r="C31" s="234">
        <v>152.093672</v>
      </c>
      <c r="D31" s="235">
        <v>156.54410505527832</v>
      </c>
      <c r="E31" s="234">
        <f t="shared" si="3"/>
        <v>152.093672</v>
      </c>
      <c r="F31" s="239"/>
      <c r="G31" s="188" t="str">
        <f t="shared" si="4"/>
        <v/>
      </c>
      <c r="H31" s="236" t="str">
        <f t="shared" si="5"/>
        <v/>
      </c>
      <c r="I31" s="237"/>
    </row>
    <row r="32" spans="1:9">
      <c r="A32" s="232">
        <f t="shared" si="2"/>
        <v>30</v>
      </c>
      <c r="B32" s="233">
        <v>45474</v>
      </c>
      <c r="C32" s="234">
        <v>176.68966500000002</v>
      </c>
      <c r="D32" s="235">
        <v>160.28440463675545</v>
      </c>
      <c r="E32" s="234">
        <f t="shared" si="3"/>
        <v>160.28440463675545</v>
      </c>
      <c r="F32" s="239"/>
      <c r="G32" s="188" t="str">
        <f t="shared" si="4"/>
        <v/>
      </c>
      <c r="H32" s="236" t="str">
        <f t="shared" si="5"/>
        <v/>
      </c>
      <c r="I32" s="237"/>
    </row>
    <row r="33" spans="1:9">
      <c r="A33" s="232">
        <f t="shared" si="2"/>
        <v>31</v>
      </c>
      <c r="B33" s="233">
        <v>45475</v>
      </c>
      <c r="C33" s="234">
        <v>199.131606</v>
      </c>
      <c r="D33" s="235">
        <v>160.28440463675545</v>
      </c>
      <c r="E33" s="234">
        <f t="shared" si="3"/>
        <v>160.28440463675545</v>
      </c>
      <c r="F33" s="237"/>
      <c r="G33" s="188" t="str">
        <f t="shared" si="4"/>
        <v/>
      </c>
      <c r="H33" s="236" t="str">
        <f t="shared" si="5"/>
        <v/>
      </c>
      <c r="I33" s="237"/>
    </row>
    <row r="34" spans="1:9">
      <c r="A34" s="232">
        <f t="shared" si="2"/>
        <v>32</v>
      </c>
      <c r="B34" s="233">
        <v>45476</v>
      </c>
      <c r="C34" s="234">
        <v>203.566722</v>
      </c>
      <c r="D34" s="235">
        <v>160.28440463675545</v>
      </c>
      <c r="E34" s="234">
        <f t="shared" si="3"/>
        <v>160.28440463675545</v>
      </c>
      <c r="F34" s="239"/>
      <c r="G34" s="188" t="str">
        <f t="shared" si="4"/>
        <v/>
      </c>
      <c r="H34" s="236" t="str">
        <f t="shared" si="5"/>
        <v/>
      </c>
      <c r="I34" s="237"/>
    </row>
    <row r="35" spans="1:9">
      <c r="A35" s="232">
        <f t="shared" si="2"/>
        <v>33</v>
      </c>
      <c r="B35" s="233">
        <v>45477</v>
      </c>
      <c r="C35" s="234">
        <v>198.899293</v>
      </c>
      <c r="D35" s="235">
        <v>160.28440463675545</v>
      </c>
      <c r="E35" s="234">
        <f t="shared" si="3"/>
        <v>160.28440463675545</v>
      </c>
      <c r="F35" s="239"/>
      <c r="G35" s="188" t="str">
        <f t="shared" si="4"/>
        <v/>
      </c>
      <c r="H35" s="236" t="str">
        <f t="shared" si="5"/>
        <v/>
      </c>
      <c r="I35" s="237"/>
    </row>
    <row r="36" spans="1:9">
      <c r="A36" s="232">
        <f t="shared" si="2"/>
        <v>34</v>
      </c>
      <c r="B36" s="233">
        <v>45478</v>
      </c>
      <c r="C36" s="234">
        <v>194.11130199999999</v>
      </c>
      <c r="D36" s="235">
        <v>160.28440463675545</v>
      </c>
      <c r="E36" s="234">
        <f t="shared" si="3"/>
        <v>160.28440463675545</v>
      </c>
      <c r="F36" s="239"/>
      <c r="G36" s="188" t="str">
        <f t="shared" si="4"/>
        <v/>
      </c>
      <c r="H36" s="236" t="str">
        <f t="shared" si="5"/>
        <v/>
      </c>
      <c r="I36" s="237"/>
    </row>
    <row r="37" spans="1:9">
      <c r="A37" s="232">
        <f t="shared" si="2"/>
        <v>35</v>
      </c>
      <c r="B37" s="233">
        <v>45479</v>
      </c>
      <c r="C37" s="234">
        <v>150.343636</v>
      </c>
      <c r="D37" s="235">
        <v>160.28440463675545</v>
      </c>
      <c r="E37" s="234">
        <f t="shared" si="3"/>
        <v>150.343636</v>
      </c>
      <c r="F37" s="239"/>
      <c r="G37" s="188" t="str">
        <f t="shared" si="4"/>
        <v/>
      </c>
      <c r="H37" s="236" t="str">
        <f t="shared" si="5"/>
        <v/>
      </c>
      <c r="I37" s="237"/>
    </row>
    <row r="38" spans="1:9">
      <c r="A38" s="232">
        <f t="shared" si="2"/>
        <v>36</v>
      </c>
      <c r="B38" s="233">
        <v>45480</v>
      </c>
      <c r="C38" s="234">
        <v>159.93816700000002</v>
      </c>
      <c r="D38" s="235">
        <v>160.28440463675545</v>
      </c>
      <c r="E38" s="234">
        <f t="shared" si="3"/>
        <v>159.93816700000002</v>
      </c>
      <c r="F38" s="239"/>
      <c r="G38" s="188" t="str">
        <f t="shared" si="4"/>
        <v/>
      </c>
      <c r="H38" s="236" t="str">
        <f t="shared" si="5"/>
        <v/>
      </c>
      <c r="I38" s="237"/>
    </row>
    <row r="39" spans="1:9">
      <c r="A39" s="232">
        <f t="shared" si="2"/>
        <v>37</v>
      </c>
      <c r="B39" s="233">
        <v>45481</v>
      </c>
      <c r="C39" s="234">
        <v>194.41218799999999</v>
      </c>
      <c r="D39" s="235">
        <v>160.28440463675545</v>
      </c>
      <c r="E39" s="234">
        <f t="shared" si="3"/>
        <v>160.28440463675545</v>
      </c>
      <c r="F39" s="239"/>
      <c r="G39" s="188" t="str">
        <f t="shared" si="4"/>
        <v/>
      </c>
      <c r="H39" s="236" t="str">
        <f t="shared" si="5"/>
        <v/>
      </c>
      <c r="I39" s="237"/>
    </row>
    <row r="40" spans="1:9">
      <c r="A40" s="232">
        <f t="shared" si="2"/>
        <v>38</v>
      </c>
      <c r="B40" s="233">
        <v>45482</v>
      </c>
      <c r="C40" s="234">
        <v>194.626385</v>
      </c>
      <c r="D40" s="235">
        <v>160.28440463675545</v>
      </c>
      <c r="E40" s="234">
        <f t="shared" si="3"/>
        <v>160.28440463675545</v>
      </c>
      <c r="F40" s="239"/>
      <c r="G40" s="188" t="str">
        <f t="shared" si="4"/>
        <v/>
      </c>
      <c r="H40" s="236" t="str">
        <f t="shared" si="5"/>
        <v/>
      </c>
      <c r="I40" s="237"/>
    </row>
    <row r="41" spans="1:9">
      <c r="A41" s="232">
        <f t="shared" si="2"/>
        <v>39</v>
      </c>
      <c r="B41" s="233">
        <v>45483</v>
      </c>
      <c r="C41" s="234">
        <v>202.80241800000002</v>
      </c>
      <c r="D41" s="235">
        <v>160.28440463675545</v>
      </c>
      <c r="E41" s="234">
        <f t="shared" si="3"/>
        <v>160.28440463675545</v>
      </c>
      <c r="F41" s="239"/>
      <c r="G41" s="188" t="str">
        <f t="shared" si="4"/>
        <v/>
      </c>
      <c r="H41" s="236" t="str">
        <f t="shared" si="5"/>
        <v/>
      </c>
      <c r="I41" s="237"/>
    </row>
    <row r="42" spans="1:9">
      <c r="A42" s="232">
        <f t="shared" si="2"/>
        <v>40</v>
      </c>
      <c r="B42" s="233">
        <v>45484</v>
      </c>
      <c r="C42" s="234">
        <v>202.98172200000002</v>
      </c>
      <c r="D42" s="235">
        <v>160.28440463675545</v>
      </c>
      <c r="E42" s="234">
        <f t="shared" si="3"/>
        <v>160.28440463675545</v>
      </c>
      <c r="F42" s="239"/>
      <c r="G42" s="188" t="str">
        <f t="shared" si="4"/>
        <v/>
      </c>
      <c r="H42" s="236" t="str">
        <f t="shared" si="5"/>
        <v/>
      </c>
      <c r="I42" s="237"/>
    </row>
    <row r="43" spans="1:9">
      <c r="A43" s="232">
        <f t="shared" si="2"/>
        <v>41</v>
      </c>
      <c r="B43" s="233">
        <v>45485</v>
      </c>
      <c r="C43" s="234">
        <v>209.10517899999999</v>
      </c>
      <c r="D43" s="235">
        <v>160.28440463675545</v>
      </c>
      <c r="E43" s="234">
        <f t="shared" si="3"/>
        <v>160.28440463675545</v>
      </c>
      <c r="F43" s="239"/>
      <c r="G43" s="188" t="str">
        <f t="shared" si="4"/>
        <v/>
      </c>
      <c r="H43" s="236" t="str">
        <f t="shared" si="5"/>
        <v/>
      </c>
      <c r="I43" s="237"/>
    </row>
    <row r="44" spans="1:9">
      <c r="A44" s="232">
        <f t="shared" si="2"/>
        <v>42</v>
      </c>
      <c r="B44" s="233">
        <v>45486</v>
      </c>
      <c r="C44" s="234">
        <v>187.23530700000001</v>
      </c>
      <c r="D44" s="235">
        <v>160.28440463675545</v>
      </c>
      <c r="E44" s="234">
        <f t="shared" si="3"/>
        <v>160.28440463675545</v>
      </c>
      <c r="F44" s="239"/>
      <c r="G44" s="188" t="str">
        <f t="shared" si="4"/>
        <v/>
      </c>
      <c r="H44" s="236" t="str">
        <f t="shared" si="5"/>
        <v/>
      </c>
      <c r="I44" s="237"/>
    </row>
    <row r="45" spans="1:9">
      <c r="A45" s="232">
        <f t="shared" si="2"/>
        <v>43</v>
      </c>
      <c r="B45" s="233">
        <v>45487</v>
      </c>
      <c r="C45" s="234">
        <v>171.06237100000001</v>
      </c>
      <c r="D45" s="235">
        <v>160.28440463675545</v>
      </c>
      <c r="E45" s="234">
        <f t="shared" si="3"/>
        <v>160.28440463675545</v>
      </c>
      <c r="F45" s="239"/>
      <c r="G45" s="188" t="str">
        <f t="shared" si="4"/>
        <v/>
      </c>
      <c r="H45" s="236" t="str">
        <f t="shared" si="5"/>
        <v/>
      </c>
      <c r="I45" s="237"/>
    </row>
    <row r="46" spans="1:9">
      <c r="A46" s="232">
        <f t="shared" si="2"/>
        <v>44</v>
      </c>
      <c r="B46" s="233">
        <v>45488</v>
      </c>
      <c r="C46" s="234">
        <v>183.149687</v>
      </c>
      <c r="D46" s="235">
        <v>160.28440463675545</v>
      </c>
      <c r="E46" s="234">
        <f t="shared" si="3"/>
        <v>160.28440463675545</v>
      </c>
      <c r="F46" s="239"/>
      <c r="G46" s="188" t="str">
        <f t="shared" si="4"/>
        <v>J</v>
      </c>
      <c r="H46" s="236" t="str">
        <f t="shared" si="5"/>
        <v>160,3</v>
      </c>
      <c r="I46" s="237"/>
    </row>
    <row r="47" spans="1:9">
      <c r="A47" s="232">
        <f t="shared" si="2"/>
        <v>45</v>
      </c>
      <c r="B47" s="233">
        <v>45489</v>
      </c>
      <c r="C47" s="234">
        <v>203.86247800000001</v>
      </c>
      <c r="D47" s="235">
        <v>160.28440463675545</v>
      </c>
      <c r="E47" s="234">
        <f t="shared" si="3"/>
        <v>160.28440463675545</v>
      </c>
      <c r="F47" s="239"/>
      <c r="G47" s="188" t="str">
        <f t="shared" si="4"/>
        <v/>
      </c>
      <c r="H47" s="236" t="str">
        <f t="shared" si="5"/>
        <v/>
      </c>
      <c r="I47" s="237"/>
    </row>
    <row r="48" spans="1:9">
      <c r="A48" s="232">
        <f t="shared" si="2"/>
        <v>46</v>
      </c>
      <c r="B48" s="233">
        <v>45490</v>
      </c>
      <c r="C48" s="234">
        <v>194.27258300000003</v>
      </c>
      <c r="D48" s="235">
        <v>160.28440463675545</v>
      </c>
      <c r="E48" s="234">
        <f t="shared" si="3"/>
        <v>160.28440463675545</v>
      </c>
      <c r="F48" s="239"/>
      <c r="G48" s="188" t="str">
        <f t="shared" si="4"/>
        <v/>
      </c>
      <c r="H48" s="236" t="str">
        <f t="shared" si="5"/>
        <v/>
      </c>
      <c r="I48" s="237"/>
    </row>
    <row r="49" spans="1:9">
      <c r="A49" s="232">
        <f t="shared" si="2"/>
        <v>47</v>
      </c>
      <c r="B49" s="233">
        <v>45491</v>
      </c>
      <c r="C49" s="234">
        <v>151.60473499999998</v>
      </c>
      <c r="D49" s="235">
        <v>160.28440463675545</v>
      </c>
      <c r="E49" s="234">
        <f t="shared" si="3"/>
        <v>151.60473499999998</v>
      </c>
      <c r="F49" s="239"/>
      <c r="G49" s="188" t="str">
        <f t="shared" si="4"/>
        <v/>
      </c>
      <c r="H49" s="236" t="str">
        <f t="shared" si="5"/>
        <v/>
      </c>
      <c r="I49" s="237"/>
    </row>
    <row r="50" spans="1:9">
      <c r="A50" s="232">
        <f t="shared" si="2"/>
        <v>48</v>
      </c>
      <c r="B50" s="233">
        <v>45492</v>
      </c>
      <c r="C50" s="234">
        <v>194.51468600000001</v>
      </c>
      <c r="D50" s="235">
        <v>160.28440463675545</v>
      </c>
      <c r="E50" s="234">
        <f t="shared" si="3"/>
        <v>160.28440463675545</v>
      </c>
      <c r="F50" s="239"/>
      <c r="G50" s="188" t="str">
        <f t="shared" si="4"/>
        <v/>
      </c>
      <c r="H50" s="236" t="str">
        <f t="shared" si="5"/>
        <v/>
      </c>
      <c r="I50" s="237"/>
    </row>
    <row r="51" spans="1:9">
      <c r="A51" s="232">
        <f t="shared" si="2"/>
        <v>49</v>
      </c>
      <c r="B51" s="233">
        <v>45493</v>
      </c>
      <c r="C51" s="234">
        <v>184.63639000000001</v>
      </c>
      <c r="D51" s="235">
        <v>160.28440463675545</v>
      </c>
      <c r="E51" s="234">
        <f t="shared" si="3"/>
        <v>160.28440463675545</v>
      </c>
      <c r="F51" s="239"/>
      <c r="G51" s="188" t="str">
        <f t="shared" si="4"/>
        <v/>
      </c>
      <c r="H51" s="236" t="str">
        <f t="shared" si="5"/>
        <v/>
      </c>
      <c r="I51" s="237"/>
    </row>
    <row r="52" spans="1:9">
      <c r="A52" s="232">
        <f t="shared" si="2"/>
        <v>50</v>
      </c>
      <c r="B52" s="233">
        <v>45494</v>
      </c>
      <c r="C52" s="234">
        <v>174.48697399999998</v>
      </c>
      <c r="D52" s="235">
        <v>160.28440463675545</v>
      </c>
      <c r="E52" s="234">
        <f t="shared" si="3"/>
        <v>160.28440463675545</v>
      </c>
      <c r="F52" s="239"/>
      <c r="G52" s="188" t="str">
        <f t="shared" si="4"/>
        <v/>
      </c>
      <c r="H52" s="236" t="str">
        <f t="shared" si="5"/>
        <v/>
      </c>
      <c r="I52" s="237"/>
    </row>
    <row r="53" spans="1:9">
      <c r="A53" s="232">
        <f t="shared" si="2"/>
        <v>51</v>
      </c>
      <c r="B53" s="233">
        <v>45495</v>
      </c>
      <c r="C53" s="234">
        <v>195.17292699999999</v>
      </c>
      <c r="D53" s="235">
        <v>160.28440463675545</v>
      </c>
      <c r="E53" s="234">
        <f t="shared" si="3"/>
        <v>160.28440463675545</v>
      </c>
      <c r="F53" s="239"/>
      <c r="G53" s="188" t="str">
        <f t="shared" si="4"/>
        <v/>
      </c>
      <c r="H53" s="236" t="str">
        <f t="shared" si="5"/>
        <v/>
      </c>
      <c r="I53" s="237"/>
    </row>
    <row r="54" spans="1:9">
      <c r="A54" s="232">
        <f t="shared" si="2"/>
        <v>52</v>
      </c>
      <c r="B54" s="233">
        <v>45496</v>
      </c>
      <c r="C54" s="234">
        <v>196.96767700000001</v>
      </c>
      <c r="D54" s="235">
        <v>160.28440463675545</v>
      </c>
      <c r="E54" s="234">
        <f t="shared" si="3"/>
        <v>160.28440463675545</v>
      </c>
      <c r="F54" s="239"/>
      <c r="G54" s="188" t="str">
        <f t="shared" si="4"/>
        <v/>
      </c>
      <c r="H54" s="236" t="str">
        <f t="shared" si="5"/>
        <v/>
      </c>
      <c r="I54" s="237"/>
    </row>
    <row r="55" spans="1:9">
      <c r="A55" s="232">
        <f t="shared" si="2"/>
        <v>53</v>
      </c>
      <c r="B55" s="233">
        <v>45497</v>
      </c>
      <c r="C55" s="234">
        <v>195.58769699999999</v>
      </c>
      <c r="D55" s="235">
        <v>160.28440463675545</v>
      </c>
      <c r="E55" s="234">
        <f t="shared" si="3"/>
        <v>160.28440463675545</v>
      </c>
      <c r="F55" s="239"/>
      <c r="G55" s="188" t="str">
        <f t="shared" si="4"/>
        <v/>
      </c>
      <c r="H55" s="236" t="str">
        <f t="shared" si="5"/>
        <v/>
      </c>
      <c r="I55" s="237"/>
    </row>
    <row r="56" spans="1:9">
      <c r="A56" s="232">
        <f t="shared" si="2"/>
        <v>54</v>
      </c>
      <c r="B56" s="233">
        <v>45498</v>
      </c>
      <c r="C56" s="234">
        <v>194.10183599999999</v>
      </c>
      <c r="D56" s="235">
        <v>160.28440463675545</v>
      </c>
      <c r="E56" s="234">
        <f t="shared" si="3"/>
        <v>160.28440463675545</v>
      </c>
      <c r="F56" s="239"/>
      <c r="G56" s="188" t="str">
        <f t="shared" si="4"/>
        <v/>
      </c>
      <c r="H56" s="236" t="str">
        <f t="shared" si="5"/>
        <v/>
      </c>
      <c r="I56" s="237"/>
    </row>
    <row r="57" spans="1:9">
      <c r="A57" s="232">
        <f t="shared" si="2"/>
        <v>55</v>
      </c>
      <c r="B57" s="233">
        <v>45499</v>
      </c>
      <c r="C57" s="234">
        <v>188.18512100000001</v>
      </c>
      <c r="D57" s="235">
        <v>160.28440463675545</v>
      </c>
      <c r="E57" s="234">
        <f t="shared" si="3"/>
        <v>160.28440463675545</v>
      </c>
      <c r="F57" s="239"/>
      <c r="G57" s="188" t="str">
        <f t="shared" si="4"/>
        <v/>
      </c>
      <c r="H57" s="236" t="str">
        <f t="shared" si="5"/>
        <v/>
      </c>
      <c r="I57" s="237"/>
    </row>
    <row r="58" spans="1:9">
      <c r="A58" s="232">
        <f t="shared" si="2"/>
        <v>56</v>
      </c>
      <c r="B58" s="233">
        <v>45500</v>
      </c>
      <c r="C58" s="234">
        <v>185.64965900000001</v>
      </c>
      <c r="D58" s="235">
        <v>160.28440463675545</v>
      </c>
      <c r="E58" s="234">
        <f t="shared" si="3"/>
        <v>160.28440463675545</v>
      </c>
      <c r="F58" s="239"/>
      <c r="G58" s="188" t="str">
        <f t="shared" si="4"/>
        <v/>
      </c>
      <c r="H58" s="236" t="str">
        <f t="shared" si="5"/>
        <v/>
      </c>
      <c r="I58" s="237"/>
    </row>
    <row r="59" spans="1:9">
      <c r="A59" s="232">
        <f t="shared" si="2"/>
        <v>57</v>
      </c>
      <c r="B59" s="233">
        <v>45501</v>
      </c>
      <c r="C59" s="234">
        <v>164.67664500000001</v>
      </c>
      <c r="D59" s="235">
        <v>160.28440463675545</v>
      </c>
      <c r="E59" s="234">
        <f t="shared" si="3"/>
        <v>160.28440463675545</v>
      </c>
      <c r="F59" s="239"/>
      <c r="G59" s="188" t="str">
        <f t="shared" si="4"/>
        <v/>
      </c>
      <c r="H59" s="236" t="str">
        <f t="shared" si="5"/>
        <v/>
      </c>
      <c r="I59" s="237"/>
    </row>
    <row r="60" spans="1:9">
      <c r="A60" s="232">
        <f t="shared" si="2"/>
        <v>58</v>
      </c>
      <c r="B60" s="233">
        <v>45502</v>
      </c>
      <c r="C60" s="234">
        <v>121.90305499999999</v>
      </c>
      <c r="D60" s="235">
        <v>160.28440463675545</v>
      </c>
      <c r="E60" s="234">
        <f t="shared" si="3"/>
        <v>121.90305499999999</v>
      </c>
      <c r="F60" s="239"/>
      <c r="G60" s="188" t="str">
        <f t="shared" si="4"/>
        <v/>
      </c>
      <c r="H60" s="236" t="str">
        <f t="shared" si="5"/>
        <v/>
      </c>
      <c r="I60" s="237"/>
    </row>
    <row r="61" spans="1:9">
      <c r="A61" s="232">
        <f t="shared" si="2"/>
        <v>59</v>
      </c>
      <c r="B61" s="233">
        <v>45503</v>
      </c>
      <c r="C61" s="234">
        <v>168.957615</v>
      </c>
      <c r="D61" s="235">
        <v>160.28440463675545</v>
      </c>
      <c r="E61" s="234">
        <f t="shared" si="3"/>
        <v>160.28440463675545</v>
      </c>
      <c r="F61" s="239"/>
      <c r="G61" s="188" t="str">
        <f t="shared" si="4"/>
        <v/>
      </c>
      <c r="H61" s="236" t="str">
        <f t="shared" si="5"/>
        <v/>
      </c>
      <c r="I61" s="237"/>
    </row>
    <row r="62" spans="1:9">
      <c r="A62" s="232">
        <f t="shared" si="2"/>
        <v>60</v>
      </c>
      <c r="B62" s="233">
        <v>45504</v>
      </c>
      <c r="C62" s="234">
        <v>191.12423899999999</v>
      </c>
      <c r="D62" s="235">
        <v>160.28440463675545</v>
      </c>
      <c r="E62" s="234">
        <f t="shared" si="3"/>
        <v>160.28440463675545</v>
      </c>
      <c r="F62" s="239"/>
      <c r="G62" s="188" t="str">
        <f t="shared" si="4"/>
        <v/>
      </c>
      <c r="H62" s="236" t="str">
        <f t="shared" si="5"/>
        <v/>
      </c>
      <c r="I62" s="237"/>
    </row>
    <row r="63" spans="1:9">
      <c r="A63" s="232">
        <f t="shared" si="2"/>
        <v>61</v>
      </c>
      <c r="B63" s="233">
        <v>45505</v>
      </c>
      <c r="C63" s="234">
        <v>196.11937300000002</v>
      </c>
      <c r="D63" s="235">
        <v>149.35317207518861</v>
      </c>
      <c r="E63" s="234">
        <f t="shared" si="3"/>
        <v>149.35317207518861</v>
      </c>
      <c r="F63" s="237"/>
      <c r="G63" s="188" t="str">
        <f t="shared" si="4"/>
        <v/>
      </c>
      <c r="H63" s="236" t="str">
        <f t="shared" si="5"/>
        <v/>
      </c>
      <c r="I63" s="237"/>
    </row>
    <row r="64" spans="1:9">
      <c r="A64" s="232">
        <f t="shared" si="2"/>
        <v>62</v>
      </c>
      <c r="B64" s="233">
        <v>45506</v>
      </c>
      <c r="C64" s="234">
        <v>188.98823899999999</v>
      </c>
      <c r="D64" s="235">
        <v>149.35317207518861</v>
      </c>
      <c r="E64" s="234">
        <f t="shared" si="3"/>
        <v>149.35317207518861</v>
      </c>
      <c r="F64" s="239"/>
      <c r="G64" s="188" t="str">
        <f t="shared" si="4"/>
        <v/>
      </c>
      <c r="H64" s="236" t="str">
        <f t="shared" si="5"/>
        <v/>
      </c>
      <c r="I64" s="237"/>
    </row>
    <row r="65" spans="1:9">
      <c r="A65" s="232">
        <f t="shared" si="2"/>
        <v>63</v>
      </c>
      <c r="B65" s="233">
        <v>45507</v>
      </c>
      <c r="C65" s="234">
        <v>190.47813199999999</v>
      </c>
      <c r="D65" s="235">
        <v>149.35317207518861</v>
      </c>
      <c r="E65" s="234">
        <f t="shared" si="3"/>
        <v>149.35317207518861</v>
      </c>
      <c r="F65" s="239"/>
      <c r="G65" s="188" t="str">
        <f t="shared" si="4"/>
        <v/>
      </c>
      <c r="H65" s="236" t="str">
        <f t="shared" si="5"/>
        <v/>
      </c>
      <c r="I65" s="237"/>
    </row>
    <row r="66" spans="1:9">
      <c r="A66" s="232">
        <f t="shared" si="2"/>
        <v>64</v>
      </c>
      <c r="B66" s="233">
        <v>45508</v>
      </c>
      <c r="C66" s="234">
        <v>188.98171899999997</v>
      </c>
      <c r="D66" s="235">
        <v>149.35317207518861</v>
      </c>
      <c r="E66" s="234">
        <f t="shared" si="3"/>
        <v>149.35317207518861</v>
      </c>
      <c r="F66" s="239"/>
      <c r="G66" s="188" t="str">
        <f t="shared" si="4"/>
        <v/>
      </c>
      <c r="H66" s="236" t="str">
        <f t="shared" si="5"/>
        <v/>
      </c>
      <c r="I66" s="237"/>
    </row>
    <row r="67" spans="1:9">
      <c r="A67" s="232">
        <f t="shared" si="2"/>
        <v>65</v>
      </c>
      <c r="B67" s="233">
        <v>45509</v>
      </c>
      <c r="C67" s="234">
        <v>189.37079</v>
      </c>
      <c r="D67" s="235">
        <v>149.35317207518861</v>
      </c>
      <c r="E67" s="234">
        <f t="shared" si="3"/>
        <v>149.35317207518861</v>
      </c>
      <c r="F67" s="239"/>
      <c r="G67" s="188" t="str">
        <f t="shared" si="4"/>
        <v/>
      </c>
      <c r="H67" s="236" t="str">
        <f t="shared" si="5"/>
        <v/>
      </c>
      <c r="I67" s="237"/>
    </row>
    <row r="68" spans="1:9">
      <c r="A68" s="232">
        <f t="shared" ref="A68:A131" si="6">+A67+1</f>
        <v>66</v>
      </c>
      <c r="B68" s="233">
        <v>45510</v>
      </c>
      <c r="C68" s="234">
        <v>188.47948499999998</v>
      </c>
      <c r="D68" s="235">
        <v>149.35317207518861</v>
      </c>
      <c r="E68" s="234">
        <f t="shared" ref="E68:E131" si="7">IF(C68&gt;D68,D68,C68)</f>
        <v>149.35317207518861</v>
      </c>
      <c r="F68" s="239"/>
      <c r="G68" s="188" t="str">
        <f t="shared" ref="G68:G131" si="8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  <c r="H68" s="236" t="str">
        <f t="shared" ref="H68:H131" si="9">IF(DAY($B68)=15,TEXT(D68,"#,0"),"")</f>
        <v/>
      </c>
      <c r="I68" s="237"/>
    </row>
    <row r="69" spans="1:9">
      <c r="A69" s="232">
        <f t="shared" si="6"/>
        <v>67</v>
      </c>
      <c r="B69" s="233">
        <v>45511</v>
      </c>
      <c r="C69" s="234">
        <v>188.309899</v>
      </c>
      <c r="D69" s="235">
        <v>149.35317207518861</v>
      </c>
      <c r="E69" s="234">
        <f t="shared" si="7"/>
        <v>149.35317207518861</v>
      </c>
      <c r="F69" s="239"/>
      <c r="G69" s="188" t="str">
        <f t="shared" si="8"/>
        <v/>
      </c>
      <c r="H69" s="236" t="str">
        <f t="shared" si="9"/>
        <v/>
      </c>
      <c r="I69" s="237"/>
    </row>
    <row r="70" spans="1:9">
      <c r="A70" s="232">
        <f t="shared" si="6"/>
        <v>68</v>
      </c>
      <c r="B70" s="233">
        <v>45512</v>
      </c>
      <c r="C70" s="234">
        <v>189.579992</v>
      </c>
      <c r="D70" s="235">
        <v>149.35317207518861</v>
      </c>
      <c r="E70" s="234">
        <f t="shared" si="7"/>
        <v>149.35317207518861</v>
      </c>
      <c r="F70" s="239"/>
      <c r="G70" s="188" t="str">
        <f t="shared" si="8"/>
        <v/>
      </c>
      <c r="H70" s="236" t="str">
        <f t="shared" si="9"/>
        <v/>
      </c>
      <c r="I70" s="237"/>
    </row>
    <row r="71" spans="1:9">
      <c r="A71" s="232">
        <f t="shared" si="6"/>
        <v>69</v>
      </c>
      <c r="B71" s="233">
        <v>45513</v>
      </c>
      <c r="C71" s="234">
        <v>187.39336799999998</v>
      </c>
      <c r="D71" s="235">
        <v>149.35317207518861</v>
      </c>
      <c r="E71" s="234">
        <f t="shared" si="7"/>
        <v>149.35317207518861</v>
      </c>
      <c r="F71" s="239"/>
      <c r="G71" s="188" t="str">
        <f t="shared" si="8"/>
        <v/>
      </c>
      <c r="H71" s="236" t="str">
        <f t="shared" si="9"/>
        <v/>
      </c>
      <c r="I71" s="237"/>
    </row>
    <row r="72" spans="1:9">
      <c r="A72" s="232">
        <f t="shared" si="6"/>
        <v>70</v>
      </c>
      <c r="B72" s="233">
        <v>45514</v>
      </c>
      <c r="C72" s="234">
        <v>175.079285</v>
      </c>
      <c r="D72" s="235">
        <v>149.35317207518861</v>
      </c>
      <c r="E72" s="234">
        <f t="shared" si="7"/>
        <v>149.35317207518861</v>
      </c>
      <c r="F72" s="239"/>
      <c r="G72" s="188" t="str">
        <f t="shared" si="8"/>
        <v/>
      </c>
      <c r="H72" s="236" t="str">
        <f t="shared" si="9"/>
        <v/>
      </c>
      <c r="I72" s="237"/>
    </row>
    <row r="73" spans="1:9">
      <c r="A73" s="232">
        <f t="shared" si="6"/>
        <v>71</v>
      </c>
      <c r="B73" s="233">
        <v>45515</v>
      </c>
      <c r="C73" s="234">
        <v>164.71506200000002</v>
      </c>
      <c r="D73" s="235">
        <v>149.35317207518861</v>
      </c>
      <c r="E73" s="234">
        <f t="shared" si="7"/>
        <v>149.35317207518861</v>
      </c>
      <c r="F73" s="239"/>
      <c r="G73" s="188" t="str">
        <f t="shared" si="8"/>
        <v/>
      </c>
      <c r="H73" s="236" t="str">
        <f t="shared" si="9"/>
        <v/>
      </c>
      <c r="I73" s="237"/>
    </row>
    <row r="74" spans="1:9">
      <c r="A74" s="232">
        <f t="shared" si="6"/>
        <v>72</v>
      </c>
      <c r="B74" s="233">
        <v>45516</v>
      </c>
      <c r="C74" s="234">
        <v>182.866716</v>
      </c>
      <c r="D74" s="235">
        <v>149.35317207518861</v>
      </c>
      <c r="E74" s="234">
        <f t="shared" si="7"/>
        <v>149.35317207518861</v>
      </c>
      <c r="F74" s="239"/>
      <c r="G74" s="188" t="str">
        <f t="shared" si="8"/>
        <v/>
      </c>
      <c r="H74" s="236" t="str">
        <f t="shared" si="9"/>
        <v/>
      </c>
      <c r="I74" s="237"/>
    </row>
    <row r="75" spans="1:9">
      <c r="A75" s="232">
        <f t="shared" si="6"/>
        <v>73</v>
      </c>
      <c r="B75" s="233">
        <v>45517</v>
      </c>
      <c r="C75" s="234">
        <v>145.14749899999998</v>
      </c>
      <c r="D75" s="235">
        <v>149.35317207518861</v>
      </c>
      <c r="E75" s="234">
        <f t="shared" si="7"/>
        <v>145.14749899999998</v>
      </c>
      <c r="F75" s="239"/>
      <c r="G75" s="188" t="str">
        <f t="shared" si="8"/>
        <v/>
      </c>
      <c r="H75" s="236" t="str">
        <f t="shared" si="9"/>
        <v/>
      </c>
      <c r="I75" s="237"/>
    </row>
    <row r="76" spans="1:9">
      <c r="A76" s="232">
        <f t="shared" si="6"/>
        <v>74</v>
      </c>
      <c r="B76" s="233">
        <v>45518</v>
      </c>
      <c r="C76" s="234">
        <v>164.38659600000003</v>
      </c>
      <c r="D76" s="235">
        <v>149.35317207518861</v>
      </c>
      <c r="E76" s="234">
        <f t="shared" si="7"/>
        <v>149.35317207518861</v>
      </c>
      <c r="F76" s="239"/>
      <c r="G76" s="188" t="str">
        <f t="shared" si="8"/>
        <v/>
      </c>
      <c r="H76" s="236" t="str">
        <f t="shared" si="9"/>
        <v/>
      </c>
      <c r="I76" s="237"/>
    </row>
    <row r="77" spans="1:9">
      <c r="A77" s="232">
        <f t="shared" si="6"/>
        <v>75</v>
      </c>
      <c r="B77" s="233">
        <v>45519</v>
      </c>
      <c r="C77" s="234">
        <v>169.91611600000002</v>
      </c>
      <c r="D77" s="235">
        <v>149.35317207518861</v>
      </c>
      <c r="E77" s="234">
        <f t="shared" si="7"/>
        <v>149.35317207518861</v>
      </c>
      <c r="F77" s="239"/>
      <c r="G77" s="188" t="str">
        <f t="shared" si="8"/>
        <v>A</v>
      </c>
      <c r="H77" s="236" t="str">
        <f t="shared" si="9"/>
        <v>149,4</v>
      </c>
      <c r="I77" s="237"/>
    </row>
    <row r="78" spans="1:9">
      <c r="A78" s="232">
        <f t="shared" si="6"/>
        <v>76</v>
      </c>
      <c r="B78" s="233">
        <v>45520</v>
      </c>
      <c r="C78" s="234">
        <v>184.19095299999998</v>
      </c>
      <c r="D78" s="235">
        <v>149.35317207518861</v>
      </c>
      <c r="E78" s="234">
        <f t="shared" si="7"/>
        <v>149.35317207518861</v>
      </c>
      <c r="F78" s="239"/>
      <c r="G78" s="188" t="str">
        <f t="shared" si="8"/>
        <v/>
      </c>
      <c r="H78" s="236" t="str">
        <f t="shared" si="9"/>
        <v/>
      </c>
      <c r="I78" s="237"/>
    </row>
    <row r="79" spans="1:9">
      <c r="A79" s="232">
        <f t="shared" si="6"/>
        <v>77</v>
      </c>
      <c r="B79" s="233">
        <v>45521</v>
      </c>
      <c r="C79" s="234">
        <v>181.32051999999999</v>
      </c>
      <c r="D79" s="235">
        <v>149.35317207518861</v>
      </c>
      <c r="E79" s="234">
        <f t="shared" si="7"/>
        <v>149.35317207518861</v>
      </c>
      <c r="F79" s="239"/>
      <c r="G79" s="188" t="str">
        <f t="shared" si="8"/>
        <v/>
      </c>
      <c r="H79" s="236" t="str">
        <f t="shared" si="9"/>
        <v/>
      </c>
      <c r="I79" s="237"/>
    </row>
    <row r="80" spans="1:9">
      <c r="A80" s="232">
        <f t="shared" si="6"/>
        <v>78</v>
      </c>
      <c r="B80" s="233">
        <v>45522</v>
      </c>
      <c r="C80" s="234">
        <v>171.19280000000001</v>
      </c>
      <c r="D80" s="235">
        <v>149.35317207518861</v>
      </c>
      <c r="E80" s="234">
        <f t="shared" si="7"/>
        <v>149.35317207518861</v>
      </c>
      <c r="F80" s="239"/>
      <c r="G80" s="188" t="str">
        <f t="shared" si="8"/>
        <v/>
      </c>
      <c r="H80" s="236" t="str">
        <f t="shared" si="9"/>
        <v/>
      </c>
      <c r="I80" s="237"/>
    </row>
    <row r="81" spans="1:9">
      <c r="A81" s="232">
        <f t="shared" si="6"/>
        <v>79</v>
      </c>
      <c r="B81" s="233">
        <v>45523</v>
      </c>
      <c r="C81" s="234">
        <v>182.97993100000002</v>
      </c>
      <c r="D81" s="235">
        <v>149.35317207518861</v>
      </c>
      <c r="E81" s="234">
        <f t="shared" si="7"/>
        <v>149.35317207518861</v>
      </c>
      <c r="F81" s="239"/>
      <c r="G81" s="188" t="str">
        <f t="shared" si="8"/>
        <v/>
      </c>
      <c r="H81" s="236" t="str">
        <f t="shared" si="9"/>
        <v/>
      </c>
      <c r="I81" s="237"/>
    </row>
    <row r="82" spans="1:9">
      <c r="A82" s="232">
        <f t="shared" si="6"/>
        <v>80</v>
      </c>
      <c r="B82" s="233">
        <v>45524</v>
      </c>
      <c r="C82" s="234">
        <v>174.32943399999999</v>
      </c>
      <c r="D82" s="235">
        <v>149.35317207518861</v>
      </c>
      <c r="E82" s="234">
        <f t="shared" si="7"/>
        <v>149.35317207518861</v>
      </c>
      <c r="F82" s="239"/>
      <c r="G82" s="188" t="str">
        <f t="shared" si="8"/>
        <v/>
      </c>
      <c r="H82" s="236" t="str">
        <f t="shared" si="9"/>
        <v/>
      </c>
      <c r="I82" s="237"/>
    </row>
    <row r="83" spans="1:9">
      <c r="A83" s="232">
        <f t="shared" si="6"/>
        <v>81</v>
      </c>
      <c r="B83" s="233">
        <v>45525</v>
      </c>
      <c r="C83" s="234">
        <v>162.15605600000001</v>
      </c>
      <c r="D83" s="235">
        <v>149.35317207518861</v>
      </c>
      <c r="E83" s="234">
        <f t="shared" si="7"/>
        <v>149.35317207518861</v>
      </c>
      <c r="F83" s="239"/>
      <c r="G83" s="188" t="str">
        <f t="shared" si="8"/>
        <v/>
      </c>
      <c r="H83" s="236" t="str">
        <f t="shared" si="9"/>
        <v/>
      </c>
      <c r="I83" s="237"/>
    </row>
    <row r="84" spans="1:9">
      <c r="A84" s="232">
        <f t="shared" si="6"/>
        <v>82</v>
      </c>
      <c r="B84" s="233">
        <v>45526</v>
      </c>
      <c r="C84" s="234">
        <v>169.56846200000001</v>
      </c>
      <c r="D84" s="235">
        <v>149.35317207518861</v>
      </c>
      <c r="E84" s="234">
        <f t="shared" si="7"/>
        <v>149.35317207518861</v>
      </c>
      <c r="F84" s="239"/>
      <c r="G84" s="188" t="str">
        <f t="shared" si="8"/>
        <v/>
      </c>
      <c r="H84" s="236" t="str">
        <f t="shared" si="9"/>
        <v/>
      </c>
      <c r="I84" s="237"/>
    </row>
    <row r="85" spans="1:9">
      <c r="A85" s="232">
        <f t="shared" si="6"/>
        <v>83</v>
      </c>
      <c r="B85" s="233">
        <v>45527</v>
      </c>
      <c r="C85" s="234">
        <v>170.49988399999998</v>
      </c>
      <c r="D85" s="235">
        <v>149.35317207518861</v>
      </c>
      <c r="E85" s="234">
        <f t="shared" si="7"/>
        <v>149.35317207518861</v>
      </c>
      <c r="F85" s="239"/>
      <c r="G85" s="188" t="str">
        <f t="shared" si="8"/>
        <v/>
      </c>
      <c r="H85" s="236" t="str">
        <f t="shared" si="9"/>
        <v/>
      </c>
      <c r="I85" s="237"/>
    </row>
    <row r="86" spans="1:9">
      <c r="A86" s="232">
        <f t="shared" si="6"/>
        <v>84</v>
      </c>
      <c r="B86" s="233">
        <v>45528</v>
      </c>
      <c r="C86" s="234">
        <v>161.41380299999997</v>
      </c>
      <c r="D86" s="235">
        <v>149.35317207518861</v>
      </c>
      <c r="E86" s="234">
        <f t="shared" si="7"/>
        <v>149.35317207518861</v>
      </c>
      <c r="F86" s="239"/>
      <c r="G86" s="188" t="str">
        <f t="shared" si="8"/>
        <v/>
      </c>
      <c r="H86" s="236" t="str">
        <f t="shared" si="9"/>
        <v/>
      </c>
      <c r="I86" s="237"/>
    </row>
    <row r="87" spans="1:9">
      <c r="A87" s="232">
        <f t="shared" si="6"/>
        <v>85</v>
      </c>
      <c r="B87" s="233">
        <v>45529</v>
      </c>
      <c r="C87" s="234">
        <v>135.528899</v>
      </c>
      <c r="D87" s="235">
        <v>149.35317207518861</v>
      </c>
      <c r="E87" s="234">
        <f t="shared" si="7"/>
        <v>135.528899</v>
      </c>
      <c r="F87" s="239"/>
      <c r="G87" s="188" t="str">
        <f t="shared" si="8"/>
        <v/>
      </c>
      <c r="H87" s="236" t="str">
        <f t="shared" si="9"/>
        <v/>
      </c>
      <c r="I87" s="237"/>
    </row>
    <row r="88" spans="1:9">
      <c r="A88" s="232">
        <f t="shared" si="6"/>
        <v>86</v>
      </c>
      <c r="B88" s="233">
        <v>45530</v>
      </c>
      <c r="C88" s="234">
        <v>164.40447</v>
      </c>
      <c r="D88" s="235">
        <v>149.35317207518861</v>
      </c>
      <c r="E88" s="234">
        <f t="shared" si="7"/>
        <v>149.35317207518861</v>
      </c>
      <c r="F88" s="239"/>
      <c r="G88" s="188" t="str">
        <f t="shared" si="8"/>
        <v/>
      </c>
      <c r="H88" s="236" t="str">
        <f t="shared" si="9"/>
        <v/>
      </c>
      <c r="I88" s="237"/>
    </row>
    <row r="89" spans="1:9">
      <c r="A89" s="232">
        <f t="shared" si="6"/>
        <v>87</v>
      </c>
      <c r="B89" s="233">
        <v>45531</v>
      </c>
      <c r="C89" s="234">
        <v>168.75790499999999</v>
      </c>
      <c r="D89" s="235">
        <v>149.35317207518861</v>
      </c>
      <c r="E89" s="234">
        <f t="shared" si="7"/>
        <v>149.35317207518861</v>
      </c>
      <c r="F89" s="239"/>
      <c r="G89" s="188" t="str">
        <f t="shared" si="8"/>
        <v/>
      </c>
      <c r="H89" s="236" t="str">
        <f t="shared" si="9"/>
        <v/>
      </c>
      <c r="I89" s="237"/>
    </row>
    <row r="90" spans="1:9">
      <c r="A90" s="232">
        <f t="shared" si="6"/>
        <v>88</v>
      </c>
      <c r="B90" s="233">
        <v>45532</v>
      </c>
      <c r="C90" s="234">
        <v>164.65436700000001</v>
      </c>
      <c r="D90" s="235">
        <v>149.35317207518861</v>
      </c>
      <c r="E90" s="234">
        <f t="shared" si="7"/>
        <v>149.35317207518861</v>
      </c>
      <c r="F90" s="239"/>
      <c r="G90" s="188" t="str">
        <f t="shared" si="8"/>
        <v/>
      </c>
      <c r="H90" s="236" t="str">
        <f t="shared" si="9"/>
        <v/>
      </c>
      <c r="I90" s="237"/>
    </row>
    <row r="91" spans="1:9">
      <c r="A91" s="232">
        <f t="shared" si="6"/>
        <v>89</v>
      </c>
      <c r="B91" s="233">
        <v>45533</v>
      </c>
      <c r="C91" s="234">
        <v>129.18781100000001</v>
      </c>
      <c r="D91" s="235">
        <v>149.35317207518861</v>
      </c>
      <c r="E91" s="234">
        <f t="shared" si="7"/>
        <v>129.18781100000001</v>
      </c>
      <c r="F91" s="239"/>
      <c r="G91" s="188" t="str">
        <f t="shared" si="8"/>
        <v/>
      </c>
      <c r="H91" s="236" t="str">
        <f t="shared" si="9"/>
        <v/>
      </c>
      <c r="I91" s="237"/>
    </row>
    <row r="92" spans="1:9">
      <c r="A92" s="232">
        <f t="shared" si="6"/>
        <v>90</v>
      </c>
      <c r="B92" s="233">
        <v>45534</v>
      </c>
      <c r="C92" s="234">
        <v>141.19395699999998</v>
      </c>
      <c r="D92" s="235">
        <v>149.35317207518861</v>
      </c>
      <c r="E92" s="234">
        <f t="shared" si="7"/>
        <v>141.19395699999998</v>
      </c>
      <c r="F92" s="239"/>
      <c r="G92" s="188" t="str">
        <f t="shared" si="8"/>
        <v/>
      </c>
      <c r="H92" s="236" t="str">
        <f t="shared" si="9"/>
        <v/>
      </c>
      <c r="I92" s="237"/>
    </row>
    <row r="93" spans="1:9">
      <c r="A93" s="232">
        <f t="shared" si="6"/>
        <v>91</v>
      </c>
      <c r="B93" s="233">
        <v>45535</v>
      </c>
      <c r="C93" s="234">
        <v>124.820413</v>
      </c>
      <c r="D93" s="235">
        <v>149.35317207518861</v>
      </c>
      <c r="E93" s="234">
        <f t="shared" si="7"/>
        <v>124.820413</v>
      </c>
      <c r="F93" s="239"/>
      <c r="G93" s="188" t="str">
        <f t="shared" si="8"/>
        <v/>
      </c>
      <c r="H93" s="236" t="str">
        <f t="shared" si="9"/>
        <v/>
      </c>
      <c r="I93" s="237"/>
    </row>
    <row r="94" spans="1:9">
      <c r="A94" s="232">
        <f t="shared" si="6"/>
        <v>92</v>
      </c>
      <c r="B94" s="233">
        <v>45536</v>
      </c>
      <c r="C94" s="234">
        <v>147.09208899999999</v>
      </c>
      <c r="D94" s="235">
        <v>126.6929881001642</v>
      </c>
      <c r="E94" s="234">
        <f t="shared" si="7"/>
        <v>126.6929881001642</v>
      </c>
      <c r="F94" s="237"/>
      <c r="G94" s="188" t="str">
        <f t="shared" si="8"/>
        <v/>
      </c>
      <c r="H94" s="236" t="str">
        <f t="shared" si="9"/>
        <v/>
      </c>
      <c r="I94" s="237"/>
    </row>
    <row r="95" spans="1:9">
      <c r="A95" s="232">
        <f t="shared" si="6"/>
        <v>93</v>
      </c>
      <c r="B95" s="233">
        <v>45537</v>
      </c>
      <c r="C95" s="234">
        <v>154.875821</v>
      </c>
      <c r="D95" s="235">
        <v>126.6929881001642</v>
      </c>
      <c r="E95" s="234">
        <f t="shared" si="7"/>
        <v>126.6929881001642</v>
      </c>
      <c r="F95" s="239"/>
      <c r="G95" s="188" t="str">
        <f t="shared" si="8"/>
        <v/>
      </c>
      <c r="H95" s="236" t="str">
        <f t="shared" si="9"/>
        <v/>
      </c>
      <c r="I95" s="237"/>
    </row>
    <row r="96" spans="1:9">
      <c r="A96" s="232">
        <f t="shared" si="6"/>
        <v>94</v>
      </c>
      <c r="B96" s="233">
        <v>45538</v>
      </c>
      <c r="C96" s="234">
        <v>152.22384700000001</v>
      </c>
      <c r="D96" s="235">
        <v>126.6929881001642</v>
      </c>
      <c r="E96" s="234">
        <f t="shared" si="7"/>
        <v>126.6929881001642</v>
      </c>
      <c r="F96" s="239"/>
      <c r="G96" s="188" t="str">
        <f t="shared" si="8"/>
        <v/>
      </c>
      <c r="H96" s="236" t="str">
        <f t="shared" si="9"/>
        <v/>
      </c>
      <c r="I96" s="237"/>
    </row>
    <row r="97" spans="1:9">
      <c r="A97" s="232">
        <f t="shared" si="6"/>
        <v>95</v>
      </c>
      <c r="B97" s="233">
        <v>45539</v>
      </c>
      <c r="C97" s="234">
        <v>154.39799200000002</v>
      </c>
      <c r="D97" s="235">
        <v>126.6929881001642</v>
      </c>
      <c r="E97" s="234">
        <f t="shared" si="7"/>
        <v>126.6929881001642</v>
      </c>
      <c r="F97" s="239"/>
      <c r="G97" s="188" t="str">
        <f t="shared" si="8"/>
        <v/>
      </c>
      <c r="H97" s="236" t="str">
        <f t="shared" si="9"/>
        <v/>
      </c>
      <c r="I97" s="237"/>
    </row>
    <row r="98" spans="1:9">
      <c r="A98" s="232">
        <f t="shared" si="6"/>
        <v>96</v>
      </c>
      <c r="B98" s="233">
        <v>45540</v>
      </c>
      <c r="C98" s="234">
        <v>152.64863500000001</v>
      </c>
      <c r="D98" s="235">
        <v>126.6929881001642</v>
      </c>
      <c r="E98" s="234">
        <f t="shared" si="7"/>
        <v>126.6929881001642</v>
      </c>
      <c r="F98" s="239"/>
      <c r="G98" s="188" t="str">
        <f t="shared" si="8"/>
        <v/>
      </c>
      <c r="H98" s="236" t="str">
        <f t="shared" si="9"/>
        <v/>
      </c>
      <c r="I98" s="237"/>
    </row>
    <row r="99" spans="1:9">
      <c r="A99" s="232">
        <f t="shared" si="6"/>
        <v>97</v>
      </c>
      <c r="B99" s="233">
        <v>45541</v>
      </c>
      <c r="C99" s="234">
        <v>172.492266</v>
      </c>
      <c r="D99" s="235">
        <v>126.6929881001642</v>
      </c>
      <c r="E99" s="234">
        <f t="shared" si="7"/>
        <v>126.6929881001642</v>
      </c>
      <c r="F99" s="239"/>
      <c r="G99" s="188" t="str">
        <f t="shared" si="8"/>
        <v/>
      </c>
      <c r="H99" s="236" t="str">
        <f t="shared" si="9"/>
        <v/>
      </c>
      <c r="I99" s="237"/>
    </row>
    <row r="100" spans="1:9">
      <c r="A100" s="232">
        <f t="shared" si="6"/>
        <v>98</v>
      </c>
      <c r="B100" s="233">
        <v>45542</v>
      </c>
      <c r="C100" s="234">
        <v>147.21313199999997</v>
      </c>
      <c r="D100" s="235">
        <v>126.6929881001642</v>
      </c>
      <c r="E100" s="234">
        <f t="shared" si="7"/>
        <v>126.6929881001642</v>
      </c>
      <c r="F100" s="239"/>
      <c r="G100" s="188" t="str">
        <f t="shared" si="8"/>
        <v/>
      </c>
      <c r="H100" s="236" t="str">
        <f t="shared" si="9"/>
        <v/>
      </c>
      <c r="I100" s="237"/>
    </row>
    <row r="101" spans="1:9">
      <c r="A101" s="232">
        <f t="shared" si="6"/>
        <v>99</v>
      </c>
      <c r="B101" s="233">
        <v>45543</v>
      </c>
      <c r="C101" s="234">
        <v>150.484036</v>
      </c>
      <c r="D101" s="235">
        <v>126.6929881001642</v>
      </c>
      <c r="E101" s="234">
        <f t="shared" si="7"/>
        <v>126.6929881001642</v>
      </c>
      <c r="F101" s="239"/>
      <c r="G101" s="188" t="str">
        <f t="shared" si="8"/>
        <v/>
      </c>
      <c r="H101" s="236" t="str">
        <f t="shared" si="9"/>
        <v/>
      </c>
      <c r="I101" s="237"/>
    </row>
    <row r="102" spans="1:9">
      <c r="A102" s="232">
        <f t="shared" si="6"/>
        <v>100</v>
      </c>
      <c r="B102" s="233">
        <v>45544</v>
      </c>
      <c r="C102" s="234">
        <v>178.53101699999999</v>
      </c>
      <c r="D102" s="235">
        <v>126.6929881001642</v>
      </c>
      <c r="E102" s="234">
        <f t="shared" si="7"/>
        <v>126.6929881001642</v>
      </c>
      <c r="F102" s="239"/>
      <c r="G102" s="188" t="str">
        <f t="shared" si="8"/>
        <v/>
      </c>
      <c r="H102" s="236" t="str">
        <f t="shared" si="9"/>
        <v/>
      </c>
      <c r="I102" s="237"/>
    </row>
    <row r="103" spans="1:9">
      <c r="A103" s="232">
        <f t="shared" si="6"/>
        <v>101</v>
      </c>
      <c r="B103" s="233">
        <v>45545</v>
      </c>
      <c r="C103" s="234">
        <v>169.755436</v>
      </c>
      <c r="D103" s="235">
        <v>126.6929881001642</v>
      </c>
      <c r="E103" s="234">
        <f t="shared" si="7"/>
        <v>126.6929881001642</v>
      </c>
      <c r="F103" s="239"/>
      <c r="G103" s="188" t="str">
        <f t="shared" si="8"/>
        <v/>
      </c>
      <c r="H103" s="236" t="str">
        <f t="shared" si="9"/>
        <v/>
      </c>
      <c r="I103" s="237"/>
    </row>
    <row r="104" spans="1:9">
      <c r="A104" s="232">
        <f t="shared" si="6"/>
        <v>102</v>
      </c>
      <c r="B104" s="233">
        <v>45546</v>
      </c>
      <c r="C104" s="234">
        <v>160.405428</v>
      </c>
      <c r="D104" s="235">
        <v>126.6929881001642</v>
      </c>
      <c r="E104" s="234">
        <f t="shared" si="7"/>
        <v>126.6929881001642</v>
      </c>
      <c r="F104" s="239"/>
      <c r="G104" s="188" t="str">
        <f t="shared" si="8"/>
        <v/>
      </c>
      <c r="H104" s="236" t="str">
        <f t="shared" si="9"/>
        <v/>
      </c>
      <c r="I104" s="237"/>
    </row>
    <row r="105" spans="1:9">
      <c r="A105" s="232">
        <f t="shared" si="6"/>
        <v>103</v>
      </c>
      <c r="B105" s="233">
        <v>45547</v>
      </c>
      <c r="C105" s="234">
        <v>150.056736</v>
      </c>
      <c r="D105" s="235">
        <v>126.6929881001642</v>
      </c>
      <c r="E105" s="234">
        <f t="shared" si="7"/>
        <v>126.6929881001642</v>
      </c>
      <c r="F105" s="239"/>
      <c r="G105" s="188" t="str">
        <f t="shared" si="8"/>
        <v/>
      </c>
      <c r="H105" s="236" t="str">
        <f t="shared" si="9"/>
        <v/>
      </c>
      <c r="I105" s="237"/>
    </row>
    <row r="106" spans="1:9">
      <c r="A106" s="232">
        <f t="shared" si="6"/>
        <v>104</v>
      </c>
      <c r="B106" s="233">
        <v>45548</v>
      </c>
      <c r="C106" s="234">
        <v>150.11576099999999</v>
      </c>
      <c r="D106" s="235">
        <v>126.6929881001642</v>
      </c>
      <c r="E106" s="234">
        <f t="shared" si="7"/>
        <v>126.6929881001642</v>
      </c>
      <c r="F106" s="239"/>
      <c r="G106" s="188" t="str">
        <f t="shared" si="8"/>
        <v/>
      </c>
      <c r="H106" s="236" t="str">
        <f t="shared" si="9"/>
        <v/>
      </c>
      <c r="I106" s="237"/>
    </row>
    <row r="107" spans="1:9">
      <c r="A107" s="232">
        <f t="shared" si="6"/>
        <v>105</v>
      </c>
      <c r="B107" s="233">
        <v>45549</v>
      </c>
      <c r="C107" s="234">
        <v>151.54077600000002</v>
      </c>
      <c r="D107" s="235">
        <v>126.6929881001642</v>
      </c>
      <c r="E107" s="234">
        <f t="shared" si="7"/>
        <v>126.6929881001642</v>
      </c>
      <c r="F107" s="239"/>
      <c r="G107" s="188" t="str">
        <f t="shared" si="8"/>
        <v/>
      </c>
      <c r="H107" s="236" t="str">
        <f t="shared" si="9"/>
        <v/>
      </c>
      <c r="I107" s="237"/>
    </row>
    <row r="108" spans="1:9">
      <c r="A108" s="232">
        <f t="shared" si="6"/>
        <v>106</v>
      </c>
      <c r="B108" s="233">
        <v>45550</v>
      </c>
      <c r="C108" s="234">
        <v>134.64170300000001</v>
      </c>
      <c r="D108" s="235">
        <v>126.6929881001642</v>
      </c>
      <c r="E108" s="234">
        <f t="shared" si="7"/>
        <v>126.6929881001642</v>
      </c>
      <c r="F108" s="239"/>
      <c r="G108" s="188" t="str">
        <f t="shared" si="8"/>
        <v>S</v>
      </c>
      <c r="H108" s="236" t="str">
        <f t="shared" si="9"/>
        <v>126,7</v>
      </c>
      <c r="I108" s="237"/>
    </row>
    <row r="109" spans="1:9">
      <c r="A109" s="232">
        <f t="shared" si="6"/>
        <v>107</v>
      </c>
      <c r="B109" s="233">
        <v>45551</v>
      </c>
      <c r="C109" s="234">
        <v>156.75048899999999</v>
      </c>
      <c r="D109" s="235">
        <v>126.6929881001642</v>
      </c>
      <c r="E109" s="234">
        <f t="shared" si="7"/>
        <v>126.6929881001642</v>
      </c>
      <c r="F109" s="239"/>
      <c r="G109" s="188" t="str">
        <f t="shared" si="8"/>
        <v/>
      </c>
      <c r="H109" s="236" t="str">
        <f t="shared" si="9"/>
        <v/>
      </c>
      <c r="I109" s="237"/>
    </row>
    <row r="110" spans="1:9">
      <c r="A110" s="232">
        <f t="shared" si="6"/>
        <v>108</v>
      </c>
      <c r="B110" s="233">
        <v>45552</v>
      </c>
      <c r="C110" s="234">
        <v>142.309403</v>
      </c>
      <c r="D110" s="235">
        <v>126.6929881001642</v>
      </c>
      <c r="E110" s="234">
        <f t="shared" si="7"/>
        <v>126.6929881001642</v>
      </c>
      <c r="F110" s="239"/>
      <c r="G110" s="188" t="str">
        <f t="shared" si="8"/>
        <v/>
      </c>
      <c r="H110" s="236" t="str">
        <f t="shared" si="9"/>
        <v/>
      </c>
      <c r="I110" s="237"/>
    </row>
    <row r="111" spans="1:9">
      <c r="A111" s="232">
        <f t="shared" si="6"/>
        <v>109</v>
      </c>
      <c r="B111" s="233">
        <v>45553</v>
      </c>
      <c r="C111" s="234">
        <v>129.33869899999999</v>
      </c>
      <c r="D111" s="235">
        <v>126.6929881001642</v>
      </c>
      <c r="E111" s="234">
        <f t="shared" si="7"/>
        <v>126.6929881001642</v>
      </c>
      <c r="F111" s="239"/>
      <c r="G111" s="188" t="str">
        <f t="shared" si="8"/>
        <v/>
      </c>
      <c r="H111" s="236" t="str">
        <f t="shared" si="9"/>
        <v/>
      </c>
      <c r="I111" s="237"/>
    </row>
    <row r="112" spans="1:9">
      <c r="A112" s="232">
        <f t="shared" si="6"/>
        <v>110</v>
      </c>
      <c r="B112" s="233">
        <v>45554</v>
      </c>
      <c r="C112" s="234">
        <v>93.914507</v>
      </c>
      <c r="D112" s="235">
        <v>126.6929881001642</v>
      </c>
      <c r="E112" s="234">
        <f t="shared" si="7"/>
        <v>93.914507</v>
      </c>
      <c r="F112" s="239"/>
      <c r="G112" s="188" t="str">
        <f t="shared" si="8"/>
        <v/>
      </c>
      <c r="H112" s="236" t="str">
        <f t="shared" si="9"/>
        <v/>
      </c>
      <c r="I112" s="237"/>
    </row>
    <row r="113" spans="1:9">
      <c r="A113" s="232">
        <f t="shared" si="6"/>
        <v>111</v>
      </c>
      <c r="B113" s="233">
        <v>45555</v>
      </c>
      <c r="C113" s="234">
        <v>101.186432</v>
      </c>
      <c r="D113" s="235">
        <v>126.6929881001642</v>
      </c>
      <c r="E113" s="234">
        <f t="shared" si="7"/>
        <v>101.186432</v>
      </c>
      <c r="F113" s="239"/>
      <c r="G113" s="188" t="str">
        <f t="shared" si="8"/>
        <v/>
      </c>
      <c r="H113" s="236" t="str">
        <f t="shared" si="9"/>
        <v/>
      </c>
      <c r="I113" s="237"/>
    </row>
    <row r="114" spans="1:9">
      <c r="A114" s="232">
        <f t="shared" si="6"/>
        <v>112</v>
      </c>
      <c r="B114" s="233">
        <v>45556</v>
      </c>
      <c r="C114" s="234">
        <v>96.45611199999999</v>
      </c>
      <c r="D114" s="235">
        <v>126.6929881001642</v>
      </c>
      <c r="E114" s="234">
        <f t="shared" si="7"/>
        <v>96.45611199999999</v>
      </c>
      <c r="F114" s="239"/>
      <c r="G114" s="188" t="str">
        <f t="shared" si="8"/>
        <v/>
      </c>
      <c r="H114" s="236" t="str">
        <f t="shared" si="9"/>
        <v/>
      </c>
      <c r="I114" s="237"/>
    </row>
    <row r="115" spans="1:9">
      <c r="A115" s="232">
        <f t="shared" si="6"/>
        <v>113</v>
      </c>
      <c r="B115" s="233">
        <v>45557</v>
      </c>
      <c r="C115" s="234">
        <v>120.73844800000001</v>
      </c>
      <c r="D115" s="235">
        <v>126.6929881001642</v>
      </c>
      <c r="E115" s="234">
        <f t="shared" si="7"/>
        <v>120.73844800000001</v>
      </c>
      <c r="F115" s="239"/>
      <c r="G115" s="188" t="str">
        <f t="shared" si="8"/>
        <v/>
      </c>
      <c r="H115" s="236" t="str">
        <f t="shared" si="9"/>
        <v/>
      </c>
      <c r="I115" s="237"/>
    </row>
    <row r="116" spans="1:9">
      <c r="A116" s="232">
        <f t="shared" si="6"/>
        <v>114</v>
      </c>
      <c r="B116" s="233">
        <v>45558</v>
      </c>
      <c r="C116" s="234">
        <v>141.30880300000001</v>
      </c>
      <c r="D116" s="235">
        <v>126.6929881001642</v>
      </c>
      <c r="E116" s="234">
        <f t="shared" si="7"/>
        <v>126.6929881001642</v>
      </c>
      <c r="F116" s="239"/>
      <c r="G116" s="188" t="str">
        <f t="shared" si="8"/>
        <v/>
      </c>
      <c r="H116" s="236" t="str">
        <f t="shared" si="9"/>
        <v/>
      </c>
      <c r="I116" s="237"/>
    </row>
    <row r="117" spans="1:9">
      <c r="A117" s="232">
        <f t="shared" si="6"/>
        <v>115</v>
      </c>
      <c r="B117" s="233">
        <v>45559</v>
      </c>
      <c r="C117" s="234">
        <v>91.882216999999997</v>
      </c>
      <c r="D117" s="235">
        <v>126.6929881001642</v>
      </c>
      <c r="E117" s="234">
        <f t="shared" si="7"/>
        <v>91.882216999999997</v>
      </c>
      <c r="F117" s="239"/>
      <c r="G117" s="188" t="str">
        <f t="shared" si="8"/>
        <v/>
      </c>
      <c r="H117" s="236" t="str">
        <f t="shared" si="9"/>
        <v/>
      </c>
      <c r="I117" s="237"/>
    </row>
    <row r="118" spans="1:9">
      <c r="A118" s="232">
        <f t="shared" si="6"/>
        <v>116</v>
      </c>
      <c r="B118" s="233">
        <v>45560</v>
      </c>
      <c r="C118" s="234">
        <v>83.148853000000003</v>
      </c>
      <c r="D118" s="235">
        <v>126.6929881001642</v>
      </c>
      <c r="E118" s="234">
        <f t="shared" si="7"/>
        <v>83.148853000000003</v>
      </c>
      <c r="F118" s="239"/>
      <c r="G118" s="188" t="str">
        <f t="shared" si="8"/>
        <v/>
      </c>
      <c r="H118" s="236" t="str">
        <f t="shared" si="9"/>
        <v/>
      </c>
      <c r="I118" s="237"/>
    </row>
    <row r="119" spans="1:9">
      <c r="A119" s="232">
        <f t="shared" si="6"/>
        <v>117</v>
      </c>
      <c r="B119" s="233">
        <v>45561</v>
      </c>
      <c r="C119" s="234">
        <v>97.209322999999998</v>
      </c>
      <c r="D119" s="235">
        <v>126.6929881001642</v>
      </c>
      <c r="E119" s="234">
        <f t="shared" si="7"/>
        <v>97.209322999999998</v>
      </c>
      <c r="F119" s="239"/>
      <c r="G119" s="188" t="str">
        <f t="shared" si="8"/>
        <v/>
      </c>
      <c r="H119" s="236" t="str">
        <f t="shared" si="9"/>
        <v/>
      </c>
      <c r="I119" s="237"/>
    </row>
    <row r="120" spans="1:9">
      <c r="A120" s="232">
        <f t="shared" si="6"/>
        <v>118</v>
      </c>
      <c r="B120" s="233">
        <v>45562</v>
      </c>
      <c r="C120" s="234">
        <v>128.791965</v>
      </c>
      <c r="D120" s="235">
        <v>126.6929881001642</v>
      </c>
      <c r="E120" s="234">
        <f t="shared" si="7"/>
        <v>126.6929881001642</v>
      </c>
      <c r="F120" s="239"/>
      <c r="G120" s="188" t="str">
        <f t="shared" si="8"/>
        <v/>
      </c>
      <c r="H120" s="236" t="str">
        <f t="shared" si="9"/>
        <v/>
      </c>
      <c r="I120" s="237"/>
    </row>
    <row r="121" spans="1:9">
      <c r="A121" s="232">
        <f t="shared" si="6"/>
        <v>119</v>
      </c>
      <c r="B121" s="233">
        <v>45563</v>
      </c>
      <c r="C121" s="234">
        <v>137.79656299999999</v>
      </c>
      <c r="D121" s="235">
        <v>126.6929881001642</v>
      </c>
      <c r="E121" s="234">
        <f t="shared" si="7"/>
        <v>126.6929881001642</v>
      </c>
      <c r="F121" s="239"/>
      <c r="G121" s="188" t="str">
        <f t="shared" si="8"/>
        <v/>
      </c>
      <c r="H121" s="236" t="str">
        <f t="shared" si="9"/>
        <v/>
      </c>
      <c r="I121" s="237"/>
    </row>
    <row r="122" spans="1:9">
      <c r="A122" s="232">
        <f t="shared" si="6"/>
        <v>120</v>
      </c>
      <c r="B122" s="233">
        <v>45564</v>
      </c>
      <c r="C122" s="234">
        <v>126.725829</v>
      </c>
      <c r="D122" s="235">
        <v>126.6929881001642</v>
      </c>
      <c r="E122" s="234">
        <f t="shared" si="7"/>
        <v>126.6929881001642</v>
      </c>
      <c r="F122" s="239"/>
      <c r="G122" s="188" t="str">
        <f t="shared" si="8"/>
        <v/>
      </c>
      <c r="H122" s="236" t="str">
        <f t="shared" si="9"/>
        <v/>
      </c>
      <c r="I122" s="237"/>
    </row>
    <row r="123" spans="1:9">
      <c r="A123" s="232">
        <f t="shared" si="6"/>
        <v>121</v>
      </c>
      <c r="B123" s="233">
        <v>45565</v>
      </c>
      <c r="C123" s="234">
        <v>154.64047299999999</v>
      </c>
      <c r="D123" s="235">
        <v>126.6929881001642</v>
      </c>
      <c r="E123" s="234">
        <f t="shared" si="7"/>
        <v>126.6929881001642</v>
      </c>
      <c r="F123" s="239"/>
      <c r="G123" s="188" t="str">
        <f t="shared" si="8"/>
        <v/>
      </c>
      <c r="H123" s="236" t="str">
        <f t="shared" si="9"/>
        <v/>
      </c>
      <c r="I123" s="237"/>
    </row>
    <row r="124" spans="1:9">
      <c r="A124" s="232">
        <f t="shared" si="6"/>
        <v>122</v>
      </c>
      <c r="B124" s="233">
        <v>45566</v>
      </c>
      <c r="C124" s="234">
        <v>133.330263</v>
      </c>
      <c r="D124" s="235">
        <v>100.30245927905248</v>
      </c>
      <c r="E124" s="234">
        <f t="shared" si="7"/>
        <v>100.30245927905248</v>
      </c>
      <c r="F124" s="237"/>
      <c r="G124" s="188" t="str">
        <f t="shared" si="8"/>
        <v/>
      </c>
      <c r="H124" s="236" t="str">
        <f t="shared" si="9"/>
        <v/>
      </c>
      <c r="I124" s="237"/>
    </row>
    <row r="125" spans="1:9">
      <c r="A125" s="232">
        <f t="shared" si="6"/>
        <v>123</v>
      </c>
      <c r="B125" s="233">
        <v>45567</v>
      </c>
      <c r="C125" s="234">
        <v>93.016408999999996</v>
      </c>
      <c r="D125" s="235">
        <v>100.30245927905248</v>
      </c>
      <c r="E125" s="234">
        <f t="shared" si="7"/>
        <v>93.016408999999996</v>
      </c>
      <c r="F125" s="239"/>
      <c r="G125" s="188" t="str">
        <f t="shared" si="8"/>
        <v/>
      </c>
      <c r="H125" s="236" t="str">
        <f t="shared" si="9"/>
        <v/>
      </c>
      <c r="I125" s="237"/>
    </row>
    <row r="126" spans="1:9">
      <c r="A126" s="232">
        <f t="shared" si="6"/>
        <v>124</v>
      </c>
      <c r="B126" s="233">
        <v>45568</v>
      </c>
      <c r="C126" s="234">
        <v>129.42252100000002</v>
      </c>
      <c r="D126" s="235">
        <v>100.30245927905248</v>
      </c>
      <c r="E126" s="234">
        <f t="shared" si="7"/>
        <v>100.30245927905248</v>
      </c>
      <c r="F126" s="239"/>
      <c r="G126" s="188" t="str">
        <f t="shared" si="8"/>
        <v/>
      </c>
      <c r="H126" s="236" t="str">
        <f t="shared" si="9"/>
        <v/>
      </c>
      <c r="I126" s="237"/>
    </row>
    <row r="127" spans="1:9">
      <c r="A127" s="232">
        <f t="shared" si="6"/>
        <v>125</v>
      </c>
      <c r="B127" s="233">
        <v>45569</v>
      </c>
      <c r="C127" s="234">
        <v>136.18094200000002</v>
      </c>
      <c r="D127" s="235">
        <v>100.30245927905248</v>
      </c>
      <c r="E127" s="234">
        <f t="shared" si="7"/>
        <v>100.30245927905248</v>
      </c>
      <c r="F127" s="239"/>
      <c r="G127" s="188" t="str">
        <f t="shared" si="8"/>
        <v/>
      </c>
      <c r="H127" s="236" t="str">
        <f t="shared" si="9"/>
        <v/>
      </c>
      <c r="I127" s="237"/>
    </row>
    <row r="128" spans="1:9">
      <c r="A128" s="232">
        <f t="shared" si="6"/>
        <v>126</v>
      </c>
      <c r="B128" s="233">
        <v>45570</v>
      </c>
      <c r="C128" s="234">
        <v>116.09362399999999</v>
      </c>
      <c r="D128" s="235">
        <v>100.30245927905248</v>
      </c>
      <c r="E128" s="234">
        <f t="shared" si="7"/>
        <v>100.30245927905248</v>
      </c>
      <c r="F128" s="239"/>
      <c r="G128" s="188" t="str">
        <f t="shared" si="8"/>
        <v/>
      </c>
      <c r="H128" s="236" t="str">
        <f t="shared" si="9"/>
        <v/>
      </c>
      <c r="I128" s="237"/>
    </row>
    <row r="129" spans="1:9">
      <c r="A129" s="232">
        <f t="shared" si="6"/>
        <v>127</v>
      </c>
      <c r="B129" s="233">
        <v>45571</v>
      </c>
      <c r="C129" s="234">
        <v>92.346328999999997</v>
      </c>
      <c r="D129" s="235">
        <v>100.30245927905248</v>
      </c>
      <c r="E129" s="234">
        <f t="shared" si="7"/>
        <v>92.346328999999997</v>
      </c>
      <c r="F129" s="239"/>
      <c r="G129" s="188" t="str">
        <f t="shared" si="8"/>
        <v/>
      </c>
      <c r="H129" s="236" t="str">
        <f t="shared" si="9"/>
        <v/>
      </c>
      <c r="I129" s="237"/>
    </row>
    <row r="130" spans="1:9">
      <c r="A130" s="232">
        <f t="shared" si="6"/>
        <v>128</v>
      </c>
      <c r="B130" s="233">
        <v>45572</v>
      </c>
      <c r="C130" s="234">
        <v>59.652215000000005</v>
      </c>
      <c r="D130" s="235">
        <v>100.30245927905248</v>
      </c>
      <c r="E130" s="234">
        <f t="shared" si="7"/>
        <v>59.652215000000005</v>
      </c>
      <c r="F130" s="239"/>
      <c r="G130" s="188" t="str">
        <f t="shared" si="8"/>
        <v/>
      </c>
      <c r="H130" s="236" t="str">
        <f t="shared" si="9"/>
        <v/>
      </c>
      <c r="I130" s="237"/>
    </row>
    <row r="131" spans="1:9">
      <c r="A131" s="232">
        <f t="shared" si="6"/>
        <v>129</v>
      </c>
      <c r="B131" s="233">
        <v>45573</v>
      </c>
      <c r="C131" s="234">
        <v>83.341712999999984</v>
      </c>
      <c r="D131" s="235">
        <v>100.30245927905248</v>
      </c>
      <c r="E131" s="234">
        <f t="shared" si="7"/>
        <v>83.341712999999984</v>
      </c>
      <c r="F131" s="239"/>
      <c r="G131" s="188" t="str">
        <f t="shared" si="8"/>
        <v/>
      </c>
      <c r="H131" s="236" t="str">
        <f t="shared" si="9"/>
        <v/>
      </c>
      <c r="I131" s="237"/>
    </row>
    <row r="132" spans="1:9">
      <c r="A132" s="232">
        <f t="shared" ref="A132:A195" si="10">+A131+1</f>
        <v>130</v>
      </c>
      <c r="B132" s="233">
        <v>45574</v>
      </c>
      <c r="C132" s="234">
        <v>63.042383000000001</v>
      </c>
      <c r="D132" s="235">
        <v>100.30245927905248</v>
      </c>
      <c r="E132" s="234">
        <f t="shared" ref="E132:E195" si="11">IF(C132&gt;D132,D132,C132)</f>
        <v>63.042383000000001</v>
      </c>
      <c r="F132" s="239"/>
      <c r="G132" s="188" t="str">
        <f t="shared" ref="G132:G195" si="12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  <c r="H132" s="236" t="str">
        <f t="shared" ref="H132:H195" si="13">IF(DAY($B132)=15,TEXT(D132,"#,0"),"")</f>
        <v/>
      </c>
      <c r="I132" s="237"/>
    </row>
    <row r="133" spans="1:9">
      <c r="A133" s="232">
        <f t="shared" si="10"/>
        <v>131</v>
      </c>
      <c r="B133" s="233">
        <v>45575</v>
      </c>
      <c r="C133" s="234">
        <v>120.56906599999999</v>
      </c>
      <c r="D133" s="235">
        <v>100.30245927905248</v>
      </c>
      <c r="E133" s="234">
        <f t="shared" si="11"/>
        <v>100.30245927905248</v>
      </c>
      <c r="F133" s="239"/>
      <c r="G133" s="188" t="str">
        <f t="shared" si="12"/>
        <v/>
      </c>
      <c r="H133" s="236" t="str">
        <f t="shared" si="13"/>
        <v/>
      </c>
      <c r="I133" s="237"/>
    </row>
    <row r="134" spans="1:9">
      <c r="A134" s="232">
        <f t="shared" si="10"/>
        <v>132</v>
      </c>
      <c r="B134" s="233">
        <v>45576</v>
      </c>
      <c r="C134" s="234">
        <v>77.722634999999997</v>
      </c>
      <c r="D134" s="235">
        <v>100.30245927905248</v>
      </c>
      <c r="E134" s="234">
        <f t="shared" si="11"/>
        <v>77.722634999999997</v>
      </c>
      <c r="F134" s="239"/>
      <c r="G134" s="188" t="str">
        <f t="shared" si="12"/>
        <v/>
      </c>
      <c r="H134" s="236" t="str">
        <f t="shared" si="13"/>
        <v/>
      </c>
      <c r="I134" s="237"/>
    </row>
    <row r="135" spans="1:9">
      <c r="A135" s="232">
        <f t="shared" si="10"/>
        <v>133</v>
      </c>
      <c r="B135" s="233">
        <v>45577</v>
      </c>
      <c r="C135" s="234">
        <v>41.631908000000003</v>
      </c>
      <c r="D135" s="235">
        <v>100.30245927905248</v>
      </c>
      <c r="E135" s="234">
        <f t="shared" si="11"/>
        <v>41.631908000000003</v>
      </c>
      <c r="F135" s="239"/>
      <c r="G135" s="188" t="str">
        <f t="shared" si="12"/>
        <v/>
      </c>
      <c r="H135" s="236" t="str">
        <f t="shared" si="13"/>
        <v/>
      </c>
      <c r="I135" s="237"/>
    </row>
    <row r="136" spans="1:9">
      <c r="A136" s="232">
        <f t="shared" si="10"/>
        <v>134</v>
      </c>
      <c r="B136" s="233">
        <v>45578</v>
      </c>
      <c r="C136" s="234">
        <v>86.009043999999989</v>
      </c>
      <c r="D136" s="235">
        <v>100.30245927905248</v>
      </c>
      <c r="E136" s="234">
        <f t="shared" si="11"/>
        <v>86.009043999999989</v>
      </c>
      <c r="F136" s="239"/>
      <c r="G136" s="188" t="str">
        <f t="shared" si="12"/>
        <v/>
      </c>
      <c r="H136" s="236" t="str">
        <f t="shared" si="13"/>
        <v/>
      </c>
      <c r="I136" s="237"/>
    </row>
    <row r="137" spans="1:9">
      <c r="A137" s="232">
        <f t="shared" si="10"/>
        <v>135</v>
      </c>
      <c r="B137" s="233">
        <v>45579</v>
      </c>
      <c r="C137" s="234">
        <v>64.959205999999995</v>
      </c>
      <c r="D137" s="235">
        <v>100.30245927905248</v>
      </c>
      <c r="E137" s="234">
        <f t="shared" si="11"/>
        <v>64.959205999999995</v>
      </c>
      <c r="F137" s="239"/>
      <c r="G137" s="188" t="str">
        <f t="shared" si="12"/>
        <v/>
      </c>
      <c r="H137" s="236" t="str">
        <f t="shared" si="13"/>
        <v/>
      </c>
      <c r="I137" s="237"/>
    </row>
    <row r="138" spans="1:9">
      <c r="A138" s="232">
        <f t="shared" si="10"/>
        <v>136</v>
      </c>
      <c r="B138" s="233">
        <v>45580</v>
      </c>
      <c r="C138" s="234">
        <v>50.144590999999998</v>
      </c>
      <c r="D138" s="235">
        <v>100.30245927905248</v>
      </c>
      <c r="E138" s="234">
        <f t="shared" si="11"/>
        <v>50.144590999999998</v>
      </c>
      <c r="F138" s="239"/>
      <c r="G138" s="188" t="str">
        <f t="shared" si="12"/>
        <v>O</v>
      </c>
      <c r="H138" s="236" t="str">
        <f t="shared" si="13"/>
        <v>100,3</v>
      </c>
      <c r="I138" s="237"/>
    </row>
    <row r="139" spans="1:9">
      <c r="A139" s="232">
        <f t="shared" si="10"/>
        <v>137</v>
      </c>
      <c r="B139" s="233">
        <v>45581</v>
      </c>
      <c r="C139" s="234">
        <v>82.845259999999996</v>
      </c>
      <c r="D139" s="235">
        <v>100.30245927905248</v>
      </c>
      <c r="E139" s="234">
        <f t="shared" si="11"/>
        <v>82.845259999999996</v>
      </c>
      <c r="F139" s="239"/>
      <c r="G139" s="188" t="str">
        <f t="shared" si="12"/>
        <v/>
      </c>
      <c r="H139" s="236" t="str">
        <f t="shared" si="13"/>
        <v/>
      </c>
      <c r="I139" s="237"/>
    </row>
    <row r="140" spans="1:9">
      <c r="A140" s="232">
        <f t="shared" si="10"/>
        <v>138</v>
      </c>
      <c r="B140" s="233">
        <v>45582</v>
      </c>
      <c r="C140" s="234">
        <v>89.803062999999995</v>
      </c>
      <c r="D140" s="235">
        <v>100.30245927905248</v>
      </c>
      <c r="E140" s="234">
        <f t="shared" si="11"/>
        <v>89.803062999999995</v>
      </c>
      <c r="F140" s="239"/>
      <c r="G140" s="188" t="str">
        <f t="shared" si="12"/>
        <v/>
      </c>
      <c r="H140" s="236" t="str">
        <f t="shared" si="13"/>
        <v/>
      </c>
      <c r="I140" s="237"/>
    </row>
    <row r="141" spans="1:9">
      <c r="A141" s="232">
        <f t="shared" si="10"/>
        <v>139</v>
      </c>
      <c r="B141" s="233">
        <v>45583</v>
      </c>
      <c r="C141" s="234">
        <v>104.7812</v>
      </c>
      <c r="D141" s="235">
        <v>100.30245927905248</v>
      </c>
      <c r="E141" s="234">
        <f t="shared" si="11"/>
        <v>100.30245927905248</v>
      </c>
      <c r="F141" s="239"/>
      <c r="G141" s="188" t="str">
        <f t="shared" si="12"/>
        <v/>
      </c>
      <c r="H141" s="236" t="str">
        <f t="shared" si="13"/>
        <v/>
      </c>
      <c r="I141" s="237"/>
    </row>
    <row r="142" spans="1:9">
      <c r="A142" s="232">
        <f t="shared" si="10"/>
        <v>140</v>
      </c>
      <c r="B142" s="233">
        <v>45584</v>
      </c>
      <c r="C142" s="234">
        <v>94.70262799999999</v>
      </c>
      <c r="D142" s="235">
        <v>100.30245927905248</v>
      </c>
      <c r="E142" s="234">
        <f t="shared" si="11"/>
        <v>94.70262799999999</v>
      </c>
      <c r="F142" s="239"/>
      <c r="G142" s="188" t="str">
        <f t="shared" si="12"/>
        <v/>
      </c>
      <c r="H142" s="236" t="str">
        <f t="shared" si="13"/>
        <v/>
      </c>
      <c r="I142" s="237"/>
    </row>
    <row r="143" spans="1:9">
      <c r="A143" s="232">
        <f t="shared" si="10"/>
        <v>141</v>
      </c>
      <c r="B143" s="233">
        <v>45585</v>
      </c>
      <c r="C143" s="234">
        <v>100.487359</v>
      </c>
      <c r="D143" s="235">
        <v>100.30245927905248</v>
      </c>
      <c r="E143" s="234">
        <f t="shared" si="11"/>
        <v>100.30245927905248</v>
      </c>
      <c r="F143" s="239"/>
      <c r="G143" s="188" t="str">
        <f t="shared" si="12"/>
        <v/>
      </c>
      <c r="H143" s="236" t="str">
        <f t="shared" si="13"/>
        <v/>
      </c>
      <c r="I143" s="237"/>
    </row>
    <row r="144" spans="1:9">
      <c r="A144" s="232">
        <f t="shared" si="10"/>
        <v>142</v>
      </c>
      <c r="B144" s="233">
        <v>45586</v>
      </c>
      <c r="C144" s="234">
        <v>128.94323600000001</v>
      </c>
      <c r="D144" s="235">
        <v>100.30245927905248</v>
      </c>
      <c r="E144" s="234">
        <f t="shared" si="11"/>
        <v>100.30245927905248</v>
      </c>
      <c r="F144" s="239"/>
      <c r="G144" s="188" t="str">
        <f t="shared" si="12"/>
        <v/>
      </c>
      <c r="H144" s="236" t="str">
        <f t="shared" si="13"/>
        <v/>
      </c>
      <c r="I144" s="237"/>
    </row>
    <row r="145" spans="1:9">
      <c r="A145" s="232">
        <f t="shared" si="10"/>
        <v>143</v>
      </c>
      <c r="B145" s="233">
        <v>45587</v>
      </c>
      <c r="C145" s="234">
        <v>111.003198</v>
      </c>
      <c r="D145" s="235">
        <v>100.30245927905248</v>
      </c>
      <c r="E145" s="234">
        <f t="shared" si="11"/>
        <v>100.30245927905248</v>
      </c>
      <c r="F145" s="239"/>
      <c r="G145" s="188" t="str">
        <f t="shared" si="12"/>
        <v/>
      </c>
      <c r="H145" s="236" t="str">
        <f t="shared" si="13"/>
        <v/>
      </c>
      <c r="I145" s="237"/>
    </row>
    <row r="146" spans="1:9">
      <c r="A146" s="232">
        <f t="shared" si="10"/>
        <v>144</v>
      </c>
      <c r="B146" s="233">
        <v>45588</v>
      </c>
      <c r="C146" s="234">
        <v>112.990899</v>
      </c>
      <c r="D146" s="235">
        <v>100.30245927905248</v>
      </c>
      <c r="E146" s="234">
        <f t="shared" si="11"/>
        <v>100.30245927905248</v>
      </c>
      <c r="F146" s="239"/>
      <c r="G146" s="188" t="str">
        <f t="shared" si="12"/>
        <v/>
      </c>
      <c r="H146" s="236" t="str">
        <f t="shared" si="13"/>
        <v/>
      </c>
      <c r="I146" s="237"/>
    </row>
    <row r="147" spans="1:9">
      <c r="A147" s="232">
        <f t="shared" si="10"/>
        <v>145</v>
      </c>
      <c r="B147" s="233">
        <v>45589</v>
      </c>
      <c r="C147" s="234">
        <v>105.980238</v>
      </c>
      <c r="D147" s="235">
        <v>100.30245927905248</v>
      </c>
      <c r="E147" s="234">
        <f t="shared" si="11"/>
        <v>100.30245927905248</v>
      </c>
      <c r="F147" s="239"/>
      <c r="G147" s="188" t="str">
        <f t="shared" si="12"/>
        <v/>
      </c>
      <c r="H147" s="236" t="str">
        <f t="shared" si="13"/>
        <v/>
      </c>
      <c r="I147" s="237"/>
    </row>
    <row r="148" spans="1:9">
      <c r="A148" s="232">
        <f t="shared" si="10"/>
        <v>146</v>
      </c>
      <c r="B148" s="233">
        <v>45590</v>
      </c>
      <c r="C148" s="234">
        <v>67.088178999999997</v>
      </c>
      <c r="D148" s="235">
        <v>100.30245927905248</v>
      </c>
      <c r="E148" s="234">
        <f t="shared" si="11"/>
        <v>67.088178999999997</v>
      </c>
      <c r="F148" s="239"/>
      <c r="G148" s="188" t="str">
        <f t="shared" si="12"/>
        <v/>
      </c>
      <c r="H148" s="236" t="str">
        <f t="shared" si="13"/>
        <v/>
      </c>
      <c r="I148" s="237"/>
    </row>
    <row r="149" spans="1:9">
      <c r="A149" s="232">
        <f t="shared" si="10"/>
        <v>147</v>
      </c>
      <c r="B149" s="233">
        <v>45591</v>
      </c>
      <c r="C149" s="234">
        <v>72.510208000000006</v>
      </c>
      <c r="D149" s="235">
        <v>100.30245927905248</v>
      </c>
      <c r="E149" s="234">
        <f t="shared" si="11"/>
        <v>72.510208000000006</v>
      </c>
      <c r="F149" s="239"/>
      <c r="G149" s="188" t="str">
        <f t="shared" si="12"/>
        <v/>
      </c>
      <c r="H149" s="236" t="str">
        <f t="shared" si="13"/>
        <v/>
      </c>
      <c r="I149" s="237"/>
    </row>
    <row r="150" spans="1:9">
      <c r="A150" s="232">
        <f t="shared" si="10"/>
        <v>148</v>
      </c>
      <c r="B150" s="233">
        <v>45592</v>
      </c>
      <c r="C150" s="234">
        <v>74.548693999999998</v>
      </c>
      <c r="D150" s="235">
        <v>100.30245927905248</v>
      </c>
      <c r="E150" s="234">
        <f t="shared" si="11"/>
        <v>74.548693999999998</v>
      </c>
      <c r="F150" s="239"/>
      <c r="G150" s="188" t="str">
        <f t="shared" si="12"/>
        <v/>
      </c>
      <c r="H150" s="236" t="str">
        <f t="shared" si="13"/>
        <v/>
      </c>
      <c r="I150" s="237"/>
    </row>
    <row r="151" spans="1:9">
      <c r="A151" s="232">
        <f t="shared" si="10"/>
        <v>149</v>
      </c>
      <c r="B151" s="233">
        <v>45593</v>
      </c>
      <c r="C151" s="234">
        <v>93.92407</v>
      </c>
      <c r="D151" s="235">
        <v>100.30245927905248</v>
      </c>
      <c r="E151" s="234">
        <f t="shared" si="11"/>
        <v>93.92407</v>
      </c>
      <c r="F151" s="239"/>
      <c r="G151" s="188" t="str">
        <f t="shared" si="12"/>
        <v/>
      </c>
      <c r="H151" s="236" t="str">
        <f t="shared" si="13"/>
        <v/>
      </c>
      <c r="I151" s="237"/>
    </row>
    <row r="152" spans="1:9">
      <c r="A152" s="232">
        <f t="shared" si="10"/>
        <v>150</v>
      </c>
      <c r="B152" s="233">
        <v>45594</v>
      </c>
      <c r="C152" s="234">
        <v>33.265422999999998</v>
      </c>
      <c r="D152" s="235">
        <v>100.30245927905248</v>
      </c>
      <c r="E152" s="234">
        <f t="shared" si="11"/>
        <v>33.265422999999998</v>
      </c>
      <c r="F152" s="239"/>
      <c r="G152" s="188" t="str">
        <f t="shared" si="12"/>
        <v/>
      </c>
      <c r="H152" s="236" t="str">
        <f t="shared" si="13"/>
        <v/>
      </c>
      <c r="I152" s="237"/>
    </row>
    <row r="153" spans="1:9">
      <c r="A153" s="232">
        <f t="shared" si="10"/>
        <v>151</v>
      </c>
      <c r="B153" s="233">
        <v>45595</v>
      </c>
      <c r="C153" s="234">
        <v>57.110762999999999</v>
      </c>
      <c r="D153" s="235">
        <v>100.30245927905248</v>
      </c>
      <c r="E153" s="234">
        <f t="shared" si="11"/>
        <v>57.110762999999999</v>
      </c>
      <c r="F153" s="239"/>
      <c r="G153" s="188" t="str">
        <f t="shared" si="12"/>
        <v/>
      </c>
      <c r="H153" s="236" t="str">
        <f t="shared" si="13"/>
        <v/>
      </c>
      <c r="I153" s="237"/>
    </row>
    <row r="154" spans="1:9">
      <c r="A154" s="232">
        <f t="shared" si="10"/>
        <v>152</v>
      </c>
      <c r="B154" s="233">
        <v>45596</v>
      </c>
      <c r="C154" s="234">
        <v>54.483849999999997</v>
      </c>
      <c r="D154" s="235">
        <v>100.30245927905248</v>
      </c>
      <c r="E154" s="234">
        <f t="shared" si="11"/>
        <v>54.483849999999997</v>
      </c>
      <c r="F154" s="239"/>
      <c r="G154" s="188" t="str">
        <f t="shared" si="12"/>
        <v/>
      </c>
      <c r="H154" s="236" t="str">
        <f t="shared" si="13"/>
        <v/>
      </c>
      <c r="I154" s="237"/>
    </row>
    <row r="155" spans="1:9">
      <c r="A155" s="232">
        <f t="shared" si="10"/>
        <v>153</v>
      </c>
      <c r="B155" s="233">
        <v>45597</v>
      </c>
      <c r="C155" s="234">
        <v>74.466177999999999</v>
      </c>
      <c r="D155" s="235">
        <v>73.512523066069093</v>
      </c>
      <c r="E155" s="234">
        <f t="shared" si="11"/>
        <v>73.512523066069093</v>
      </c>
      <c r="F155" s="237"/>
      <c r="G155" s="188" t="str">
        <f t="shared" si="12"/>
        <v/>
      </c>
      <c r="H155" s="236" t="str">
        <f t="shared" si="13"/>
        <v/>
      </c>
      <c r="I155" s="237"/>
    </row>
    <row r="156" spans="1:9">
      <c r="A156" s="232">
        <f t="shared" si="10"/>
        <v>154</v>
      </c>
      <c r="B156" s="233">
        <v>45598</v>
      </c>
      <c r="C156" s="234">
        <v>98.563636000000002</v>
      </c>
      <c r="D156" s="235">
        <v>73.512523066069093</v>
      </c>
      <c r="E156" s="234">
        <f t="shared" si="11"/>
        <v>73.512523066069093</v>
      </c>
      <c r="F156" s="239"/>
      <c r="G156" s="188" t="str">
        <f t="shared" si="12"/>
        <v/>
      </c>
      <c r="H156" s="236" t="str">
        <f t="shared" si="13"/>
        <v/>
      </c>
      <c r="I156" s="237"/>
    </row>
    <row r="157" spans="1:9">
      <c r="A157" s="232">
        <f t="shared" si="10"/>
        <v>155</v>
      </c>
      <c r="B157" s="233">
        <v>45599</v>
      </c>
      <c r="C157" s="234">
        <v>93.970578000000003</v>
      </c>
      <c r="D157" s="235">
        <v>73.512523066069093</v>
      </c>
      <c r="E157" s="234">
        <f t="shared" si="11"/>
        <v>73.512523066069093</v>
      </c>
      <c r="F157" s="239"/>
      <c r="G157" s="188" t="str">
        <f t="shared" si="12"/>
        <v/>
      </c>
      <c r="H157" s="236" t="str">
        <f t="shared" si="13"/>
        <v/>
      </c>
      <c r="I157" s="237"/>
    </row>
    <row r="158" spans="1:9">
      <c r="A158" s="232">
        <f t="shared" si="10"/>
        <v>156</v>
      </c>
      <c r="B158" s="233">
        <v>45600</v>
      </c>
      <c r="C158" s="234">
        <v>81.866806999999994</v>
      </c>
      <c r="D158" s="235">
        <v>73.512523066069093</v>
      </c>
      <c r="E158" s="234">
        <f t="shared" si="11"/>
        <v>73.512523066069093</v>
      </c>
      <c r="F158" s="239"/>
      <c r="G158" s="188" t="str">
        <f t="shared" si="12"/>
        <v/>
      </c>
      <c r="H158" s="236" t="str">
        <f t="shared" si="13"/>
        <v/>
      </c>
      <c r="I158" s="237"/>
    </row>
    <row r="159" spans="1:9">
      <c r="A159" s="232">
        <f t="shared" si="10"/>
        <v>157</v>
      </c>
      <c r="B159" s="233">
        <v>45601</v>
      </c>
      <c r="C159" s="234">
        <v>89.904982999999987</v>
      </c>
      <c r="D159" s="235">
        <v>73.512523066069093</v>
      </c>
      <c r="E159" s="234">
        <f t="shared" si="11"/>
        <v>73.512523066069093</v>
      </c>
      <c r="F159" s="239"/>
      <c r="G159" s="188" t="str">
        <f t="shared" si="12"/>
        <v/>
      </c>
      <c r="H159" s="236" t="str">
        <f t="shared" si="13"/>
        <v/>
      </c>
      <c r="I159" s="237"/>
    </row>
    <row r="160" spans="1:9">
      <c r="A160" s="232">
        <f t="shared" si="10"/>
        <v>158</v>
      </c>
      <c r="B160" s="233">
        <v>45602</v>
      </c>
      <c r="C160" s="234">
        <v>109.862454</v>
      </c>
      <c r="D160" s="235">
        <v>73.512523066069093</v>
      </c>
      <c r="E160" s="234">
        <f t="shared" si="11"/>
        <v>73.512523066069093</v>
      </c>
      <c r="F160" s="239"/>
      <c r="G160" s="188" t="str">
        <f t="shared" si="12"/>
        <v/>
      </c>
      <c r="H160" s="236" t="str">
        <f t="shared" si="13"/>
        <v/>
      </c>
      <c r="I160" s="237"/>
    </row>
    <row r="161" spans="1:9">
      <c r="A161" s="232">
        <f t="shared" si="10"/>
        <v>159</v>
      </c>
      <c r="B161" s="233">
        <v>45603</v>
      </c>
      <c r="C161" s="234">
        <v>100.38225800000001</v>
      </c>
      <c r="D161" s="235">
        <v>73.512523066069093</v>
      </c>
      <c r="E161" s="234">
        <f t="shared" si="11"/>
        <v>73.512523066069093</v>
      </c>
      <c r="F161" s="239"/>
      <c r="G161" s="188" t="str">
        <f t="shared" si="12"/>
        <v/>
      </c>
      <c r="H161" s="236" t="str">
        <f t="shared" si="13"/>
        <v/>
      </c>
      <c r="I161" s="237"/>
    </row>
    <row r="162" spans="1:9">
      <c r="A162" s="232">
        <f t="shared" si="10"/>
        <v>160</v>
      </c>
      <c r="B162" s="233">
        <v>45604</v>
      </c>
      <c r="C162" s="234">
        <v>50.916232000000001</v>
      </c>
      <c r="D162" s="235">
        <v>73.512523066069093</v>
      </c>
      <c r="E162" s="234">
        <f t="shared" si="11"/>
        <v>50.916232000000001</v>
      </c>
      <c r="F162" s="239"/>
      <c r="G162" s="188" t="str">
        <f t="shared" si="12"/>
        <v/>
      </c>
      <c r="H162" s="236" t="str">
        <f t="shared" si="13"/>
        <v/>
      </c>
      <c r="I162" s="237"/>
    </row>
    <row r="163" spans="1:9">
      <c r="A163" s="232">
        <f t="shared" si="10"/>
        <v>161</v>
      </c>
      <c r="B163" s="233">
        <v>45605</v>
      </c>
      <c r="C163" s="234">
        <v>78.314505999999994</v>
      </c>
      <c r="D163" s="235">
        <v>73.512523066069093</v>
      </c>
      <c r="E163" s="234">
        <f t="shared" si="11"/>
        <v>73.512523066069093</v>
      </c>
      <c r="F163" s="239"/>
      <c r="G163" s="188" t="str">
        <f t="shared" si="12"/>
        <v/>
      </c>
      <c r="H163" s="236" t="str">
        <f t="shared" si="13"/>
        <v/>
      </c>
      <c r="I163" s="237"/>
    </row>
    <row r="164" spans="1:9">
      <c r="A164" s="232">
        <f t="shared" si="10"/>
        <v>162</v>
      </c>
      <c r="B164" s="233">
        <v>45606</v>
      </c>
      <c r="C164" s="234">
        <v>97.85316499999999</v>
      </c>
      <c r="D164" s="235">
        <v>73.512523066069093</v>
      </c>
      <c r="E164" s="234">
        <f t="shared" si="11"/>
        <v>73.512523066069093</v>
      </c>
      <c r="F164" s="239"/>
      <c r="G164" s="188" t="str">
        <f t="shared" si="12"/>
        <v/>
      </c>
      <c r="H164" s="236" t="str">
        <f t="shared" si="13"/>
        <v/>
      </c>
      <c r="I164" s="237"/>
    </row>
    <row r="165" spans="1:9">
      <c r="A165" s="232">
        <f t="shared" si="10"/>
        <v>163</v>
      </c>
      <c r="B165" s="233">
        <v>45607</v>
      </c>
      <c r="C165" s="234">
        <v>99.835943</v>
      </c>
      <c r="D165" s="235">
        <v>73.512523066069093</v>
      </c>
      <c r="E165" s="234">
        <f t="shared" si="11"/>
        <v>73.512523066069093</v>
      </c>
      <c r="F165" s="239"/>
      <c r="G165" s="188" t="str">
        <f t="shared" si="12"/>
        <v/>
      </c>
      <c r="H165" s="236" t="str">
        <f t="shared" si="13"/>
        <v/>
      </c>
      <c r="I165" s="237"/>
    </row>
    <row r="166" spans="1:9">
      <c r="A166" s="232">
        <f t="shared" si="10"/>
        <v>164</v>
      </c>
      <c r="B166" s="233">
        <v>45608</v>
      </c>
      <c r="C166" s="234">
        <v>94.795468</v>
      </c>
      <c r="D166" s="235">
        <v>73.512523066069093</v>
      </c>
      <c r="E166" s="234">
        <f t="shared" si="11"/>
        <v>73.512523066069093</v>
      </c>
      <c r="F166" s="239"/>
      <c r="G166" s="188" t="str">
        <f t="shared" si="12"/>
        <v/>
      </c>
      <c r="H166" s="236" t="str">
        <f t="shared" si="13"/>
        <v/>
      </c>
      <c r="I166" s="237"/>
    </row>
    <row r="167" spans="1:9">
      <c r="A167" s="232">
        <f t="shared" si="10"/>
        <v>165</v>
      </c>
      <c r="B167" s="233">
        <v>45609</v>
      </c>
      <c r="C167" s="234">
        <v>39.932923000000002</v>
      </c>
      <c r="D167" s="235">
        <v>73.512523066069093</v>
      </c>
      <c r="E167" s="234">
        <f t="shared" si="11"/>
        <v>39.932923000000002</v>
      </c>
      <c r="F167" s="239"/>
      <c r="G167" s="188" t="str">
        <f t="shared" si="12"/>
        <v/>
      </c>
      <c r="H167" s="236" t="str">
        <f t="shared" si="13"/>
        <v/>
      </c>
      <c r="I167" s="237"/>
    </row>
    <row r="168" spans="1:9">
      <c r="A168" s="232">
        <f t="shared" si="10"/>
        <v>166</v>
      </c>
      <c r="B168" s="233">
        <v>45610</v>
      </c>
      <c r="C168" s="234">
        <v>41.226576999999999</v>
      </c>
      <c r="D168" s="235">
        <v>73.512523066069093</v>
      </c>
      <c r="E168" s="234">
        <f t="shared" si="11"/>
        <v>41.226576999999999</v>
      </c>
      <c r="F168" s="239"/>
      <c r="G168" s="188" t="str">
        <f t="shared" si="12"/>
        <v/>
      </c>
      <c r="H168" s="236" t="str">
        <f t="shared" si="13"/>
        <v/>
      </c>
      <c r="I168" s="237"/>
    </row>
    <row r="169" spans="1:9">
      <c r="A169" s="232">
        <f t="shared" si="10"/>
        <v>167</v>
      </c>
      <c r="B169" s="233">
        <v>45611</v>
      </c>
      <c r="C169" s="234">
        <v>62.788205999999995</v>
      </c>
      <c r="D169" s="235">
        <v>73.512523066069093</v>
      </c>
      <c r="E169" s="234">
        <f t="shared" si="11"/>
        <v>62.788205999999995</v>
      </c>
      <c r="F169" s="239"/>
      <c r="G169" s="188" t="str">
        <f t="shared" si="12"/>
        <v>N</v>
      </c>
      <c r="H169" s="236" t="str">
        <f t="shared" si="13"/>
        <v>73,5</v>
      </c>
      <c r="I169" s="237"/>
    </row>
    <row r="170" spans="1:9">
      <c r="A170" s="232">
        <f t="shared" si="10"/>
        <v>168</v>
      </c>
      <c r="B170" s="233">
        <v>45612</v>
      </c>
      <c r="C170" s="234">
        <v>66.986218999999991</v>
      </c>
      <c r="D170" s="235">
        <v>73.512523066069093</v>
      </c>
      <c r="E170" s="234">
        <f t="shared" si="11"/>
        <v>66.986218999999991</v>
      </c>
      <c r="F170" s="239"/>
      <c r="G170" s="188" t="str">
        <f t="shared" si="12"/>
        <v/>
      </c>
      <c r="H170" s="236" t="str">
        <f t="shared" si="13"/>
        <v/>
      </c>
      <c r="I170" s="237"/>
    </row>
    <row r="171" spans="1:9">
      <c r="A171" s="232">
        <f t="shared" si="10"/>
        <v>169</v>
      </c>
      <c r="B171" s="233">
        <v>45613</v>
      </c>
      <c r="C171" s="234">
        <v>67.113129000000001</v>
      </c>
      <c r="D171" s="235">
        <v>73.512523066069093</v>
      </c>
      <c r="E171" s="234">
        <f t="shared" si="11"/>
        <v>67.113129000000001</v>
      </c>
      <c r="F171" s="239"/>
      <c r="G171" s="188" t="str">
        <f t="shared" si="12"/>
        <v/>
      </c>
      <c r="H171" s="236" t="str">
        <f t="shared" si="13"/>
        <v/>
      </c>
      <c r="I171" s="237"/>
    </row>
    <row r="172" spans="1:9">
      <c r="A172" s="232">
        <f t="shared" si="10"/>
        <v>170</v>
      </c>
      <c r="B172" s="233">
        <v>45614</v>
      </c>
      <c r="C172" s="234">
        <v>89.205157999999997</v>
      </c>
      <c r="D172" s="235">
        <v>73.512523066069093</v>
      </c>
      <c r="E172" s="234">
        <f t="shared" si="11"/>
        <v>73.512523066069093</v>
      </c>
      <c r="F172" s="239"/>
      <c r="G172" s="188" t="str">
        <f t="shared" si="12"/>
        <v/>
      </c>
      <c r="H172" s="236" t="str">
        <f t="shared" si="13"/>
        <v/>
      </c>
      <c r="I172" s="237"/>
    </row>
    <row r="173" spans="1:9">
      <c r="A173" s="232">
        <f t="shared" si="10"/>
        <v>171</v>
      </c>
      <c r="B173" s="233">
        <v>45615</v>
      </c>
      <c r="C173" s="234">
        <v>74.871026999999998</v>
      </c>
      <c r="D173" s="235">
        <v>73.512523066069093</v>
      </c>
      <c r="E173" s="234">
        <f t="shared" si="11"/>
        <v>73.512523066069093</v>
      </c>
      <c r="F173" s="239"/>
      <c r="G173" s="188" t="str">
        <f t="shared" si="12"/>
        <v/>
      </c>
      <c r="H173" s="236" t="str">
        <f t="shared" si="13"/>
        <v/>
      </c>
      <c r="I173" s="237"/>
    </row>
    <row r="174" spans="1:9">
      <c r="A174" s="232">
        <f t="shared" si="10"/>
        <v>172</v>
      </c>
      <c r="B174" s="233">
        <v>45616</v>
      </c>
      <c r="C174" s="234">
        <v>84.846082999999993</v>
      </c>
      <c r="D174" s="235">
        <v>73.512523066069093</v>
      </c>
      <c r="E174" s="234">
        <f t="shared" si="11"/>
        <v>73.512523066069093</v>
      </c>
      <c r="F174" s="239"/>
      <c r="G174" s="188" t="str">
        <f t="shared" si="12"/>
        <v/>
      </c>
      <c r="H174" s="236" t="str">
        <f t="shared" si="13"/>
        <v/>
      </c>
      <c r="I174" s="237"/>
    </row>
    <row r="175" spans="1:9">
      <c r="A175" s="232">
        <f t="shared" si="10"/>
        <v>173</v>
      </c>
      <c r="B175" s="233">
        <v>45617</v>
      </c>
      <c r="C175" s="234">
        <v>42.338537000000002</v>
      </c>
      <c r="D175" s="235">
        <v>73.512523066069093</v>
      </c>
      <c r="E175" s="234">
        <f t="shared" si="11"/>
        <v>42.338537000000002</v>
      </c>
      <c r="F175" s="239"/>
      <c r="G175" s="188" t="str">
        <f t="shared" si="12"/>
        <v/>
      </c>
      <c r="H175" s="236" t="str">
        <f t="shared" si="13"/>
        <v/>
      </c>
      <c r="I175" s="237"/>
    </row>
    <row r="176" spans="1:9">
      <c r="A176" s="232">
        <f t="shared" si="10"/>
        <v>174</v>
      </c>
      <c r="B176" s="233">
        <v>45618</v>
      </c>
      <c r="C176" s="234">
        <v>58.361740999999995</v>
      </c>
      <c r="D176" s="235">
        <v>73.512523066069093</v>
      </c>
      <c r="E176" s="234">
        <f t="shared" si="11"/>
        <v>58.361740999999995</v>
      </c>
      <c r="F176" s="239"/>
      <c r="G176" s="188" t="str">
        <f t="shared" si="12"/>
        <v/>
      </c>
      <c r="H176" s="236" t="str">
        <f t="shared" si="13"/>
        <v/>
      </c>
      <c r="I176" s="237"/>
    </row>
    <row r="177" spans="1:9">
      <c r="A177" s="232">
        <f t="shared" si="10"/>
        <v>175</v>
      </c>
      <c r="B177" s="233">
        <v>45619</v>
      </c>
      <c r="C177" s="234">
        <v>80.723516000000004</v>
      </c>
      <c r="D177" s="235">
        <v>73.512523066069093</v>
      </c>
      <c r="E177" s="234">
        <f t="shared" si="11"/>
        <v>73.512523066069093</v>
      </c>
      <c r="F177" s="239"/>
      <c r="G177" s="188" t="str">
        <f t="shared" si="12"/>
        <v/>
      </c>
      <c r="H177" s="236" t="str">
        <f t="shared" si="13"/>
        <v/>
      </c>
      <c r="I177" s="237"/>
    </row>
    <row r="178" spans="1:9">
      <c r="A178" s="232">
        <f t="shared" si="10"/>
        <v>176</v>
      </c>
      <c r="B178" s="233">
        <v>45620</v>
      </c>
      <c r="C178" s="234">
        <v>51.90925</v>
      </c>
      <c r="D178" s="235">
        <v>73.512523066069093</v>
      </c>
      <c r="E178" s="234">
        <f t="shared" si="11"/>
        <v>51.90925</v>
      </c>
      <c r="F178" s="239"/>
      <c r="G178" s="188" t="str">
        <f t="shared" si="12"/>
        <v/>
      </c>
      <c r="H178" s="236" t="str">
        <f t="shared" si="13"/>
        <v/>
      </c>
      <c r="I178" s="237"/>
    </row>
    <row r="179" spans="1:9">
      <c r="A179" s="232">
        <f t="shared" si="10"/>
        <v>177</v>
      </c>
      <c r="B179" s="233">
        <v>45621</v>
      </c>
      <c r="C179" s="234">
        <v>55.430270999999998</v>
      </c>
      <c r="D179" s="235">
        <v>73.512523066069093</v>
      </c>
      <c r="E179" s="234">
        <f t="shared" si="11"/>
        <v>55.430270999999998</v>
      </c>
      <c r="F179" s="239"/>
      <c r="G179" s="188" t="str">
        <f t="shared" si="12"/>
        <v/>
      </c>
      <c r="H179" s="236" t="str">
        <f t="shared" si="13"/>
        <v/>
      </c>
      <c r="I179" s="237"/>
    </row>
    <row r="180" spans="1:9">
      <c r="A180" s="232">
        <f t="shared" si="10"/>
        <v>178</v>
      </c>
      <c r="B180" s="233">
        <v>45622</v>
      </c>
      <c r="C180" s="234">
        <v>64.251201999999992</v>
      </c>
      <c r="D180" s="235">
        <v>73.512523066069093</v>
      </c>
      <c r="E180" s="234">
        <f t="shared" si="11"/>
        <v>64.251201999999992</v>
      </c>
      <c r="F180" s="239"/>
      <c r="G180" s="188" t="str">
        <f t="shared" si="12"/>
        <v/>
      </c>
      <c r="H180" s="236" t="str">
        <f t="shared" si="13"/>
        <v/>
      </c>
      <c r="I180" s="237"/>
    </row>
    <row r="181" spans="1:9">
      <c r="A181" s="232">
        <f t="shared" si="10"/>
        <v>179</v>
      </c>
      <c r="B181" s="233">
        <v>45623</v>
      </c>
      <c r="C181" s="234">
        <v>93.229678000000007</v>
      </c>
      <c r="D181" s="235">
        <v>73.512523066069093</v>
      </c>
      <c r="E181" s="234">
        <f t="shared" si="11"/>
        <v>73.512523066069093</v>
      </c>
      <c r="F181" s="239"/>
      <c r="G181" s="188" t="str">
        <f t="shared" si="12"/>
        <v/>
      </c>
      <c r="H181" s="236" t="str">
        <f t="shared" si="13"/>
        <v/>
      </c>
      <c r="I181" s="237"/>
    </row>
    <row r="182" spans="1:9">
      <c r="A182" s="232">
        <f t="shared" si="10"/>
        <v>180</v>
      </c>
      <c r="B182" s="233">
        <v>45624</v>
      </c>
      <c r="C182" s="234">
        <v>87.406096999999988</v>
      </c>
      <c r="D182" s="235">
        <v>73.512523066069093</v>
      </c>
      <c r="E182" s="234">
        <f t="shared" si="11"/>
        <v>73.512523066069093</v>
      </c>
      <c r="F182" s="239"/>
      <c r="G182" s="188" t="str">
        <f t="shared" si="12"/>
        <v/>
      </c>
      <c r="H182" s="236" t="str">
        <f t="shared" si="13"/>
        <v/>
      </c>
      <c r="I182" s="237"/>
    </row>
    <row r="183" spans="1:9">
      <c r="A183" s="232">
        <f t="shared" si="10"/>
        <v>181</v>
      </c>
      <c r="B183" s="233">
        <v>45625</v>
      </c>
      <c r="C183" s="234">
        <v>69.153275999999991</v>
      </c>
      <c r="D183" s="235">
        <v>73.512523066069093</v>
      </c>
      <c r="E183" s="234">
        <f t="shared" si="11"/>
        <v>69.153275999999991</v>
      </c>
      <c r="F183" s="239"/>
      <c r="G183" s="188" t="str">
        <f t="shared" si="12"/>
        <v/>
      </c>
      <c r="H183" s="236" t="str">
        <f t="shared" si="13"/>
        <v/>
      </c>
      <c r="I183" s="237"/>
    </row>
    <row r="184" spans="1:9">
      <c r="A184" s="232">
        <f t="shared" si="10"/>
        <v>182</v>
      </c>
      <c r="B184" s="233">
        <v>45626</v>
      </c>
      <c r="C184" s="234">
        <v>80.821982000000006</v>
      </c>
      <c r="D184" s="235">
        <v>73.512523066069093</v>
      </c>
      <c r="E184" s="234">
        <f t="shared" si="11"/>
        <v>73.512523066069093</v>
      </c>
      <c r="F184" s="239"/>
      <c r="G184" s="188" t="str">
        <f t="shared" si="12"/>
        <v/>
      </c>
      <c r="H184" s="236" t="str">
        <f t="shared" si="13"/>
        <v/>
      </c>
      <c r="I184" s="237"/>
    </row>
    <row r="185" spans="1:9">
      <c r="A185" s="232">
        <f t="shared" si="10"/>
        <v>183</v>
      </c>
      <c r="B185" s="233">
        <v>45627</v>
      </c>
      <c r="C185" s="234">
        <v>50.342654000000003</v>
      </c>
      <c r="D185" s="235">
        <v>62.677295626558916</v>
      </c>
      <c r="E185" s="234">
        <f t="shared" si="11"/>
        <v>50.342654000000003</v>
      </c>
      <c r="F185" s="239"/>
      <c r="G185" s="188" t="str">
        <f t="shared" si="12"/>
        <v/>
      </c>
      <c r="H185" s="236" t="str">
        <f t="shared" si="13"/>
        <v/>
      </c>
      <c r="I185" s="237"/>
    </row>
    <row r="186" spans="1:9">
      <c r="A186" s="232">
        <f t="shared" si="10"/>
        <v>184</v>
      </c>
      <c r="B186" s="233">
        <v>45628</v>
      </c>
      <c r="C186" s="234">
        <v>57.007607999999998</v>
      </c>
      <c r="D186" s="235">
        <v>62.677295626558916</v>
      </c>
      <c r="E186" s="234">
        <f t="shared" si="11"/>
        <v>57.007607999999998</v>
      </c>
      <c r="F186" s="237"/>
      <c r="G186" s="188" t="str">
        <f t="shared" si="12"/>
        <v/>
      </c>
      <c r="H186" s="236" t="str">
        <f t="shared" si="13"/>
        <v/>
      </c>
      <c r="I186" s="237"/>
    </row>
    <row r="187" spans="1:9">
      <c r="A187" s="232">
        <f t="shared" si="10"/>
        <v>185</v>
      </c>
      <c r="B187" s="233">
        <v>45629</v>
      </c>
      <c r="C187" s="234">
        <v>60.962364999999998</v>
      </c>
      <c r="D187" s="235">
        <v>62.677295626558916</v>
      </c>
      <c r="E187" s="234">
        <f t="shared" si="11"/>
        <v>60.962364999999998</v>
      </c>
      <c r="F187" s="239"/>
      <c r="G187" s="188" t="str">
        <f t="shared" si="12"/>
        <v/>
      </c>
      <c r="H187" s="236" t="str">
        <f t="shared" si="13"/>
        <v/>
      </c>
      <c r="I187" s="237"/>
    </row>
    <row r="188" spans="1:9">
      <c r="A188" s="232">
        <f t="shared" si="10"/>
        <v>186</v>
      </c>
      <c r="B188" s="233">
        <v>45630</v>
      </c>
      <c r="C188" s="234">
        <v>77.724840999999998</v>
      </c>
      <c r="D188" s="235">
        <v>62.677295626558916</v>
      </c>
      <c r="E188" s="234">
        <f t="shared" si="11"/>
        <v>62.677295626558916</v>
      </c>
      <c r="F188" s="239"/>
      <c r="G188" s="188" t="str">
        <f t="shared" si="12"/>
        <v/>
      </c>
      <c r="H188" s="236" t="str">
        <f t="shared" si="13"/>
        <v/>
      </c>
      <c r="I188" s="237"/>
    </row>
    <row r="189" spans="1:9">
      <c r="A189" s="232">
        <f t="shared" si="10"/>
        <v>187</v>
      </c>
      <c r="B189" s="233">
        <v>45631</v>
      </c>
      <c r="C189" s="234">
        <v>85.409227000000001</v>
      </c>
      <c r="D189" s="235">
        <v>62.677295626558916</v>
      </c>
      <c r="E189" s="234">
        <f t="shared" si="11"/>
        <v>62.677295626558916</v>
      </c>
      <c r="F189" s="239"/>
      <c r="G189" s="188" t="str">
        <f t="shared" si="12"/>
        <v/>
      </c>
      <c r="H189" s="236" t="str">
        <f t="shared" si="13"/>
        <v/>
      </c>
      <c r="I189" s="237"/>
    </row>
    <row r="190" spans="1:9">
      <c r="A190" s="232">
        <f t="shared" si="10"/>
        <v>188</v>
      </c>
      <c r="B190" s="233">
        <v>45632</v>
      </c>
      <c r="C190" s="234">
        <v>79.75458900000001</v>
      </c>
      <c r="D190" s="235">
        <v>62.677295626558916</v>
      </c>
      <c r="E190" s="234">
        <f t="shared" si="11"/>
        <v>62.677295626558916</v>
      </c>
      <c r="F190" s="239"/>
      <c r="G190" s="188" t="str">
        <f t="shared" si="12"/>
        <v/>
      </c>
      <c r="H190" s="236" t="str">
        <f t="shared" si="13"/>
        <v/>
      </c>
      <c r="I190" s="237"/>
    </row>
    <row r="191" spans="1:9">
      <c r="A191" s="232">
        <f t="shared" si="10"/>
        <v>189</v>
      </c>
      <c r="B191" s="233">
        <v>45633</v>
      </c>
      <c r="C191" s="234">
        <v>71.923387000000005</v>
      </c>
      <c r="D191" s="235">
        <v>62.677295626558916</v>
      </c>
      <c r="E191" s="234">
        <f t="shared" si="11"/>
        <v>62.677295626558916</v>
      </c>
      <c r="F191" s="239"/>
      <c r="G191" s="188" t="str">
        <f t="shared" si="12"/>
        <v/>
      </c>
      <c r="H191" s="236" t="str">
        <f t="shared" si="13"/>
        <v/>
      </c>
      <c r="I191" s="237"/>
    </row>
    <row r="192" spans="1:9">
      <c r="A192" s="232">
        <f t="shared" si="10"/>
        <v>190</v>
      </c>
      <c r="B192" s="233">
        <v>45634</v>
      </c>
      <c r="C192" s="234">
        <v>80.529674999999997</v>
      </c>
      <c r="D192" s="235">
        <v>62.677295626558916</v>
      </c>
      <c r="E192" s="234">
        <f t="shared" si="11"/>
        <v>62.677295626558916</v>
      </c>
      <c r="F192" s="239"/>
      <c r="G192" s="188" t="str">
        <f t="shared" si="12"/>
        <v/>
      </c>
      <c r="H192" s="236" t="str">
        <f t="shared" si="13"/>
        <v/>
      </c>
      <c r="I192" s="237"/>
    </row>
    <row r="193" spans="1:9">
      <c r="A193" s="232">
        <f t="shared" si="10"/>
        <v>191</v>
      </c>
      <c r="B193" s="233">
        <v>45635</v>
      </c>
      <c r="C193" s="234">
        <v>89.168153000000004</v>
      </c>
      <c r="D193" s="235">
        <v>62.677295626558916</v>
      </c>
      <c r="E193" s="234">
        <f t="shared" si="11"/>
        <v>62.677295626558916</v>
      </c>
      <c r="F193" s="239"/>
      <c r="G193" s="188" t="str">
        <f t="shared" si="12"/>
        <v/>
      </c>
      <c r="H193" s="236" t="str">
        <f t="shared" si="13"/>
        <v/>
      </c>
      <c r="I193" s="237"/>
    </row>
    <row r="194" spans="1:9">
      <c r="A194" s="232">
        <f t="shared" si="10"/>
        <v>192</v>
      </c>
      <c r="B194" s="233">
        <v>45636</v>
      </c>
      <c r="C194" s="234">
        <v>92.365225999999993</v>
      </c>
      <c r="D194" s="235">
        <v>62.677295626558916</v>
      </c>
      <c r="E194" s="234">
        <f t="shared" si="11"/>
        <v>62.677295626558916</v>
      </c>
      <c r="F194" s="239"/>
      <c r="G194" s="188" t="str">
        <f t="shared" si="12"/>
        <v/>
      </c>
      <c r="H194" s="236" t="str">
        <f t="shared" si="13"/>
        <v/>
      </c>
      <c r="I194" s="237"/>
    </row>
    <row r="195" spans="1:9">
      <c r="A195" s="232">
        <f t="shared" si="10"/>
        <v>193</v>
      </c>
      <c r="B195" s="233">
        <v>45637</v>
      </c>
      <c r="C195" s="234">
        <v>62.689135</v>
      </c>
      <c r="D195" s="235">
        <v>62.677295626558916</v>
      </c>
      <c r="E195" s="234">
        <f t="shared" si="11"/>
        <v>62.677295626558916</v>
      </c>
      <c r="F195" s="239"/>
      <c r="G195" s="188" t="str">
        <f t="shared" si="12"/>
        <v/>
      </c>
      <c r="H195" s="236" t="str">
        <f t="shared" si="13"/>
        <v/>
      </c>
      <c r="I195" s="237"/>
    </row>
    <row r="196" spans="1:9">
      <c r="A196" s="232">
        <f t="shared" ref="A196:A259" si="14">+A195+1</f>
        <v>194</v>
      </c>
      <c r="B196" s="233">
        <v>45638</v>
      </c>
      <c r="C196" s="234">
        <v>54.744125999999994</v>
      </c>
      <c r="D196" s="235">
        <v>62.677295626558916</v>
      </c>
      <c r="E196" s="234">
        <f t="shared" ref="E196:E259" si="15">IF(C196&gt;D196,D196,C196)</f>
        <v>54.744125999999994</v>
      </c>
      <c r="F196" s="239"/>
      <c r="G196" s="188" t="str">
        <f t="shared" ref="G196:G259" si="16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  <c r="H196" s="236" t="str">
        <f t="shared" ref="H196:H259" si="17">IF(DAY($B196)=15,TEXT(D196,"#,0"),"")</f>
        <v/>
      </c>
      <c r="I196" s="237"/>
    </row>
    <row r="197" spans="1:9">
      <c r="A197" s="232">
        <f t="shared" si="14"/>
        <v>195</v>
      </c>
      <c r="B197" s="233">
        <v>45639</v>
      </c>
      <c r="C197" s="234">
        <v>70.486809999999991</v>
      </c>
      <c r="D197" s="235">
        <v>62.677295626558916</v>
      </c>
      <c r="E197" s="234">
        <f t="shared" si="15"/>
        <v>62.677295626558916</v>
      </c>
      <c r="F197" s="239"/>
      <c r="G197" s="188" t="str">
        <f t="shared" si="16"/>
        <v/>
      </c>
      <c r="H197" s="236" t="str">
        <f t="shared" si="17"/>
        <v/>
      </c>
      <c r="I197" s="237"/>
    </row>
    <row r="198" spans="1:9">
      <c r="A198" s="232">
        <f t="shared" si="14"/>
        <v>196</v>
      </c>
      <c r="B198" s="233">
        <v>45640</v>
      </c>
      <c r="C198" s="234">
        <v>78.006089000000003</v>
      </c>
      <c r="D198" s="235">
        <v>62.677295626558916</v>
      </c>
      <c r="E198" s="234">
        <f t="shared" si="15"/>
        <v>62.677295626558916</v>
      </c>
      <c r="F198" s="239"/>
      <c r="G198" s="188" t="str">
        <f t="shared" si="16"/>
        <v/>
      </c>
      <c r="H198" s="236" t="str">
        <f t="shared" si="17"/>
        <v/>
      </c>
      <c r="I198" s="237"/>
    </row>
    <row r="199" spans="1:9">
      <c r="A199" s="232">
        <f t="shared" si="14"/>
        <v>197</v>
      </c>
      <c r="B199" s="233">
        <v>45641</v>
      </c>
      <c r="C199" s="234">
        <v>85.128867</v>
      </c>
      <c r="D199" s="235">
        <v>62.677295626558916</v>
      </c>
      <c r="E199" s="234">
        <f t="shared" si="15"/>
        <v>62.677295626558916</v>
      </c>
      <c r="F199" s="239"/>
      <c r="G199" s="188" t="str">
        <f t="shared" si="16"/>
        <v>D</v>
      </c>
      <c r="H199" s="236" t="str">
        <f t="shared" si="17"/>
        <v>62,7</v>
      </c>
      <c r="I199" s="237"/>
    </row>
    <row r="200" spans="1:9">
      <c r="A200" s="232">
        <f t="shared" si="14"/>
        <v>198</v>
      </c>
      <c r="B200" s="233">
        <v>45642</v>
      </c>
      <c r="C200" s="234">
        <v>95.131668999999988</v>
      </c>
      <c r="D200" s="235">
        <v>62.677295626558916</v>
      </c>
      <c r="E200" s="234">
        <f t="shared" si="15"/>
        <v>62.677295626558916</v>
      </c>
      <c r="F200" s="239"/>
      <c r="G200" s="188" t="str">
        <f t="shared" si="16"/>
        <v/>
      </c>
      <c r="H200" s="236" t="str">
        <f t="shared" si="17"/>
        <v/>
      </c>
      <c r="I200" s="237"/>
    </row>
    <row r="201" spans="1:9">
      <c r="A201" s="232">
        <f t="shared" si="14"/>
        <v>199</v>
      </c>
      <c r="B201" s="233">
        <v>45643</v>
      </c>
      <c r="C201" s="234">
        <v>73.860073</v>
      </c>
      <c r="D201" s="235">
        <v>62.677295626558916</v>
      </c>
      <c r="E201" s="234">
        <f t="shared" si="15"/>
        <v>62.677295626558916</v>
      </c>
      <c r="F201" s="239"/>
      <c r="G201" s="188" t="str">
        <f t="shared" si="16"/>
        <v/>
      </c>
      <c r="H201" s="236" t="str">
        <f t="shared" si="17"/>
        <v/>
      </c>
      <c r="I201" s="237"/>
    </row>
    <row r="202" spans="1:9">
      <c r="A202" s="232">
        <f t="shared" si="14"/>
        <v>200</v>
      </c>
      <c r="B202" s="233">
        <v>45644</v>
      </c>
      <c r="C202" s="234">
        <v>69.193577999999988</v>
      </c>
      <c r="D202" s="235">
        <v>62.677295626558916</v>
      </c>
      <c r="E202" s="234">
        <f t="shared" si="15"/>
        <v>62.677295626558916</v>
      </c>
      <c r="F202" s="239"/>
      <c r="G202" s="188" t="str">
        <f t="shared" si="16"/>
        <v/>
      </c>
      <c r="H202" s="236" t="str">
        <f t="shared" si="17"/>
        <v/>
      </c>
      <c r="I202" s="237"/>
    </row>
    <row r="203" spans="1:9">
      <c r="A203" s="232">
        <f t="shared" si="14"/>
        <v>201</v>
      </c>
      <c r="B203" s="233">
        <v>45645</v>
      </c>
      <c r="C203" s="234">
        <v>47.207433999999999</v>
      </c>
      <c r="D203" s="235">
        <v>62.677295626558916</v>
      </c>
      <c r="E203" s="234">
        <f t="shared" si="15"/>
        <v>47.207433999999999</v>
      </c>
      <c r="F203" s="239"/>
      <c r="G203" s="188" t="str">
        <f t="shared" si="16"/>
        <v/>
      </c>
      <c r="H203" s="236" t="str">
        <f t="shared" si="17"/>
        <v/>
      </c>
      <c r="I203" s="237"/>
    </row>
    <row r="204" spans="1:9">
      <c r="A204" s="232">
        <f t="shared" si="14"/>
        <v>202</v>
      </c>
      <c r="B204" s="233">
        <v>45646</v>
      </c>
      <c r="C204" s="234">
        <v>87.948316999999989</v>
      </c>
      <c r="D204" s="235">
        <v>62.677295626558916</v>
      </c>
      <c r="E204" s="234">
        <f t="shared" si="15"/>
        <v>62.677295626558916</v>
      </c>
      <c r="F204" s="239"/>
      <c r="G204" s="188" t="str">
        <f t="shared" si="16"/>
        <v/>
      </c>
      <c r="H204" s="236" t="str">
        <f t="shared" si="17"/>
        <v/>
      </c>
      <c r="I204" s="237"/>
    </row>
    <row r="205" spans="1:9">
      <c r="A205" s="232">
        <f t="shared" si="14"/>
        <v>203</v>
      </c>
      <c r="B205" s="233">
        <v>45647</v>
      </c>
      <c r="C205" s="234">
        <v>95.664479999999998</v>
      </c>
      <c r="D205" s="235">
        <v>62.677295626558916</v>
      </c>
      <c r="E205" s="234">
        <f t="shared" si="15"/>
        <v>62.677295626558916</v>
      </c>
      <c r="F205" s="239"/>
      <c r="G205" s="188" t="str">
        <f t="shared" si="16"/>
        <v/>
      </c>
      <c r="H205" s="236" t="str">
        <f t="shared" si="17"/>
        <v/>
      </c>
      <c r="I205" s="237"/>
    </row>
    <row r="206" spans="1:9">
      <c r="A206" s="232">
        <f t="shared" si="14"/>
        <v>204</v>
      </c>
      <c r="B206" s="233">
        <v>45648</v>
      </c>
      <c r="C206" s="234">
        <v>97.219092000000003</v>
      </c>
      <c r="D206" s="235">
        <v>62.677295626558916</v>
      </c>
      <c r="E206" s="234">
        <f t="shared" si="15"/>
        <v>62.677295626558916</v>
      </c>
      <c r="F206" s="239"/>
      <c r="G206" s="188" t="str">
        <f t="shared" si="16"/>
        <v/>
      </c>
      <c r="H206" s="236" t="str">
        <f t="shared" si="17"/>
        <v/>
      </c>
      <c r="I206" s="237"/>
    </row>
    <row r="207" spans="1:9">
      <c r="A207" s="232">
        <f t="shared" si="14"/>
        <v>205</v>
      </c>
      <c r="B207" s="233">
        <v>45649</v>
      </c>
      <c r="C207" s="234">
        <v>91.721535999999986</v>
      </c>
      <c r="D207" s="235">
        <v>62.677295626558916</v>
      </c>
      <c r="E207" s="234">
        <f t="shared" si="15"/>
        <v>62.677295626558916</v>
      </c>
      <c r="F207" s="239"/>
      <c r="G207" s="188" t="str">
        <f t="shared" si="16"/>
        <v/>
      </c>
      <c r="H207" s="236" t="str">
        <f t="shared" si="17"/>
        <v/>
      </c>
      <c r="I207" s="237"/>
    </row>
    <row r="208" spans="1:9">
      <c r="A208" s="232">
        <f t="shared" si="14"/>
        <v>206</v>
      </c>
      <c r="B208" s="233">
        <v>45650</v>
      </c>
      <c r="C208" s="234">
        <v>93.944281000000004</v>
      </c>
      <c r="D208" s="235">
        <v>62.677295626558916</v>
      </c>
      <c r="E208" s="234">
        <f t="shared" si="15"/>
        <v>62.677295626558916</v>
      </c>
      <c r="F208" s="239"/>
      <c r="G208" s="188" t="str">
        <f t="shared" si="16"/>
        <v/>
      </c>
      <c r="H208" s="236" t="str">
        <f t="shared" si="17"/>
        <v/>
      </c>
      <c r="I208" s="237"/>
    </row>
    <row r="209" spans="1:9">
      <c r="A209" s="232">
        <f t="shared" si="14"/>
        <v>207</v>
      </c>
      <c r="B209" s="233">
        <v>45651</v>
      </c>
      <c r="C209" s="234">
        <v>95.59514200000001</v>
      </c>
      <c r="D209" s="235">
        <v>62.677295626558916</v>
      </c>
      <c r="E209" s="234">
        <f t="shared" si="15"/>
        <v>62.677295626558916</v>
      </c>
      <c r="F209" s="239"/>
      <c r="G209" s="188" t="str">
        <f t="shared" si="16"/>
        <v/>
      </c>
      <c r="H209" s="236" t="str">
        <f t="shared" si="17"/>
        <v/>
      </c>
      <c r="I209" s="237"/>
    </row>
    <row r="210" spans="1:9">
      <c r="A210" s="232">
        <f t="shared" si="14"/>
        <v>208</v>
      </c>
      <c r="B210" s="233">
        <v>45652</v>
      </c>
      <c r="C210" s="234">
        <v>81.732392000000004</v>
      </c>
      <c r="D210" s="235">
        <v>62.677295626558916</v>
      </c>
      <c r="E210" s="234">
        <f t="shared" si="15"/>
        <v>62.677295626558916</v>
      </c>
      <c r="F210" s="239"/>
      <c r="G210" s="188" t="str">
        <f t="shared" si="16"/>
        <v/>
      </c>
      <c r="H210" s="236" t="str">
        <f t="shared" si="17"/>
        <v/>
      </c>
      <c r="I210" s="237"/>
    </row>
    <row r="211" spans="1:9">
      <c r="A211" s="232">
        <f t="shared" si="14"/>
        <v>209</v>
      </c>
      <c r="B211" s="233">
        <v>45653</v>
      </c>
      <c r="C211" s="234">
        <v>84.997551999999999</v>
      </c>
      <c r="D211" s="235">
        <v>62.677295626558916</v>
      </c>
      <c r="E211" s="234">
        <f t="shared" si="15"/>
        <v>62.677295626558916</v>
      </c>
      <c r="F211" s="239"/>
      <c r="G211" s="188" t="str">
        <f t="shared" si="16"/>
        <v/>
      </c>
      <c r="H211" s="236" t="str">
        <f t="shared" si="17"/>
        <v/>
      </c>
      <c r="I211" s="237"/>
    </row>
    <row r="212" spans="1:9">
      <c r="A212" s="232">
        <f t="shared" si="14"/>
        <v>210</v>
      </c>
      <c r="B212" s="233">
        <v>45654</v>
      </c>
      <c r="C212" s="234">
        <v>86.008907999999991</v>
      </c>
      <c r="D212" s="235">
        <v>62.677295626558916</v>
      </c>
      <c r="E212" s="234">
        <f t="shared" si="15"/>
        <v>62.677295626558916</v>
      </c>
      <c r="F212" s="239"/>
      <c r="G212" s="188" t="str">
        <f t="shared" si="16"/>
        <v/>
      </c>
      <c r="H212" s="236" t="str">
        <f t="shared" si="17"/>
        <v/>
      </c>
      <c r="I212" s="237"/>
    </row>
    <row r="213" spans="1:9">
      <c r="A213" s="232">
        <f t="shared" si="14"/>
        <v>211</v>
      </c>
      <c r="B213" s="233">
        <v>45655</v>
      </c>
      <c r="C213" s="234">
        <v>83.658262000000008</v>
      </c>
      <c r="D213" s="235">
        <v>62.677295626558916</v>
      </c>
      <c r="E213" s="234">
        <f t="shared" si="15"/>
        <v>62.677295626558916</v>
      </c>
      <c r="F213" s="239"/>
      <c r="G213" s="188" t="str">
        <f t="shared" si="16"/>
        <v/>
      </c>
      <c r="H213" s="236" t="str">
        <f t="shared" si="17"/>
        <v/>
      </c>
      <c r="I213" s="237"/>
    </row>
    <row r="214" spans="1:9">
      <c r="A214" s="232">
        <f t="shared" si="14"/>
        <v>212</v>
      </c>
      <c r="B214" s="233">
        <v>45656</v>
      </c>
      <c r="C214" s="234">
        <v>85.196237999999994</v>
      </c>
      <c r="D214" s="235">
        <v>62.677295626558916</v>
      </c>
      <c r="E214" s="234">
        <f t="shared" si="15"/>
        <v>62.677295626558916</v>
      </c>
      <c r="F214" s="239"/>
      <c r="G214" s="188" t="str">
        <f t="shared" si="16"/>
        <v/>
      </c>
      <c r="H214" s="236" t="str">
        <f t="shared" si="17"/>
        <v/>
      </c>
      <c r="I214" s="237"/>
    </row>
    <row r="215" spans="1:9">
      <c r="A215" s="232">
        <f t="shared" si="14"/>
        <v>213</v>
      </c>
      <c r="B215" s="233">
        <v>45657</v>
      </c>
      <c r="C215" s="234">
        <v>76.263199999999998</v>
      </c>
      <c r="D215" s="235">
        <v>62.677295626558916</v>
      </c>
      <c r="E215" s="234">
        <f t="shared" si="15"/>
        <v>62.677295626558916</v>
      </c>
      <c r="F215" s="239"/>
      <c r="G215" s="188" t="str">
        <f t="shared" si="16"/>
        <v/>
      </c>
      <c r="H215" s="236" t="str">
        <f t="shared" si="17"/>
        <v/>
      </c>
      <c r="I215" s="237"/>
    </row>
    <row r="216" spans="1:9">
      <c r="A216" s="232">
        <f t="shared" si="14"/>
        <v>214</v>
      </c>
      <c r="B216" s="233">
        <v>45658</v>
      </c>
      <c r="C216" s="234">
        <v>77.068251000000004</v>
      </c>
      <c r="D216" s="235">
        <v>92.067993699548055</v>
      </c>
      <c r="E216" s="234">
        <f t="shared" si="15"/>
        <v>77.068251000000004</v>
      </c>
      <c r="F216" s="237">
        <f>YEAR(B216)</f>
        <v>2025</v>
      </c>
      <c r="G216" s="188" t="str">
        <f t="shared" si="16"/>
        <v/>
      </c>
      <c r="H216" s="236" t="str">
        <f t="shared" si="17"/>
        <v/>
      </c>
      <c r="I216" s="237"/>
    </row>
    <row r="217" spans="1:9">
      <c r="A217" s="232">
        <f t="shared" si="14"/>
        <v>215</v>
      </c>
      <c r="B217" s="233">
        <v>45659</v>
      </c>
      <c r="C217" s="234">
        <v>90.994359000000003</v>
      </c>
      <c r="D217" s="235">
        <v>92.067993699548055</v>
      </c>
      <c r="E217" s="234">
        <f t="shared" si="15"/>
        <v>90.994359000000003</v>
      </c>
      <c r="F217" s="239"/>
      <c r="G217" s="188" t="str">
        <f t="shared" si="16"/>
        <v/>
      </c>
      <c r="H217" s="236" t="str">
        <f t="shared" si="17"/>
        <v/>
      </c>
      <c r="I217" s="237"/>
    </row>
    <row r="218" spans="1:9">
      <c r="A218" s="232">
        <f t="shared" si="14"/>
        <v>216</v>
      </c>
      <c r="B218" s="233">
        <v>45660</v>
      </c>
      <c r="C218" s="234">
        <v>73.33421899999999</v>
      </c>
      <c r="D218" s="235">
        <v>92.067993699548055</v>
      </c>
      <c r="E218" s="234">
        <f t="shared" si="15"/>
        <v>73.33421899999999</v>
      </c>
      <c r="F218" s="239"/>
      <c r="G218" s="188" t="str">
        <f t="shared" si="16"/>
        <v/>
      </c>
      <c r="H218" s="236" t="str">
        <f t="shared" si="17"/>
        <v/>
      </c>
      <c r="I218" s="237"/>
    </row>
    <row r="219" spans="1:9">
      <c r="A219" s="232">
        <f t="shared" si="14"/>
        <v>217</v>
      </c>
      <c r="B219" s="233">
        <v>45661</v>
      </c>
      <c r="C219" s="234">
        <v>67.995000000000005</v>
      </c>
      <c r="D219" s="235">
        <v>92.067993699548055</v>
      </c>
      <c r="E219" s="234">
        <f t="shared" si="15"/>
        <v>67.995000000000005</v>
      </c>
      <c r="F219" s="239"/>
      <c r="G219" s="188" t="str">
        <f t="shared" si="16"/>
        <v/>
      </c>
      <c r="H219" s="236" t="str">
        <f t="shared" si="17"/>
        <v/>
      </c>
      <c r="I219" s="237"/>
    </row>
    <row r="220" spans="1:9">
      <c r="A220" s="232">
        <f t="shared" si="14"/>
        <v>218</v>
      </c>
      <c r="B220" s="233">
        <v>45662</v>
      </c>
      <c r="C220" s="234">
        <v>38.230311999999998</v>
      </c>
      <c r="D220" s="235">
        <v>92.067993699548055</v>
      </c>
      <c r="E220" s="234">
        <f t="shared" si="15"/>
        <v>38.230311999999998</v>
      </c>
      <c r="F220" s="239"/>
      <c r="G220" s="188" t="str">
        <f t="shared" si="16"/>
        <v/>
      </c>
      <c r="H220" s="236" t="str">
        <f t="shared" si="17"/>
        <v/>
      </c>
      <c r="I220" s="237"/>
    </row>
    <row r="221" spans="1:9">
      <c r="A221" s="232">
        <f t="shared" si="14"/>
        <v>219</v>
      </c>
      <c r="B221" s="233">
        <v>45663</v>
      </c>
      <c r="C221" s="234">
        <v>57.564029000000005</v>
      </c>
      <c r="D221" s="235">
        <v>92.067993699548055</v>
      </c>
      <c r="E221" s="234">
        <f t="shared" si="15"/>
        <v>57.564029000000005</v>
      </c>
      <c r="F221" s="239"/>
      <c r="G221" s="188" t="str">
        <f t="shared" si="16"/>
        <v/>
      </c>
      <c r="H221" s="236" t="str">
        <f t="shared" si="17"/>
        <v/>
      </c>
      <c r="I221" s="237"/>
    </row>
    <row r="222" spans="1:9">
      <c r="A222" s="232">
        <f t="shared" si="14"/>
        <v>220</v>
      </c>
      <c r="B222" s="233">
        <v>45664</v>
      </c>
      <c r="C222" s="234">
        <v>73.159034000000005</v>
      </c>
      <c r="D222" s="235">
        <v>92.067993699548055</v>
      </c>
      <c r="E222" s="234">
        <f t="shared" si="15"/>
        <v>73.159034000000005</v>
      </c>
      <c r="F222" s="239"/>
      <c r="G222" s="188" t="str">
        <f t="shared" si="16"/>
        <v/>
      </c>
      <c r="H222" s="236" t="str">
        <f t="shared" si="17"/>
        <v/>
      </c>
      <c r="I222" s="237"/>
    </row>
    <row r="223" spans="1:9">
      <c r="A223" s="232">
        <f t="shared" si="14"/>
        <v>221</v>
      </c>
      <c r="B223" s="233">
        <v>45665</v>
      </c>
      <c r="C223" s="234">
        <v>56.939137000000002</v>
      </c>
      <c r="D223" s="235">
        <v>92.067993699548055</v>
      </c>
      <c r="E223" s="234">
        <f t="shared" si="15"/>
        <v>56.939137000000002</v>
      </c>
      <c r="F223" s="239"/>
      <c r="G223" s="188" t="str">
        <f t="shared" si="16"/>
        <v/>
      </c>
      <c r="H223" s="236" t="str">
        <f t="shared" si="17"/>
        <v/>
      </c>
      <c r="I223" s="237"/>
    </row>
    <row r="224" spans="1:9">
      <c r="A224" s="232">
        <f t="shared" si="14"/>
        <v>222</v>
      </c>
      <c r="B224" s="233">
        <v>45666</v>
      </c>
      <c r="C224" s="234">
        <v>71.211937999999989</v>
      </c>
      <c r="D224" s="235">
        <v>92.067993699548055</v>
      </c>
      <c r="E224" s="234">
        <f t="shared" si="15"/>
        <v>71.211937999999989</v>
      </c>
      <c r="F224" s="239"/>
      <c r="G224" s="188" t="str">
        <f t="shared" si="16"/>
        <v/>
      </c>
      <c r="H224" s="236" t="str">
        <f t="shared" si="17"/>
        <v/>
      </c>
      <c r="I224" s="237"/>
    </row>
    <row r="225" spans="1:9">
      <c r="A225" s="232">
        <f t="shared" si="14"/>
        <v>223</v>
      </c>
      <c r="B225" s="233">
        <v>45667</v>
      </c>
      <c r="C225" s="234">
        <v>59.269631000000004</v>
      </c>
      <c r="D225" s="235">
        <v>92.067993699548055</v>
      </c>
      <c r="E225" s="234">
        <f t="shared" si="15"/>
        <v>59.269631000000004</v>
      </c>
      <c r="F225" s="239"/>
      <c r="G225" s="188" t="str">
        <f t="shared" si="16"/>
        <v/>
      </c>
      <c r="H225" s="236" t="str">
        <f t="shared" si="17"/>
        <v/>
      </c>
      <c r="I225" s="237"/>
    </row>
    <row r="226" spans="1:9">
      <c r="A226" s="232">
        <f t="shared" si="14"/>
        <v>224</v>
      </c>
      <c r="B226" s="233">
        <v>45668</v>
      </c>
      <c r="C226" s="234">
        <v>57.422787</v>
      </c>
      <c r="D226" s="235">
        <v>92.067993699548055</v>
      </c>
      <c r="E226" s="234">
        <f t="shared" si="15"/>
        <v>57.422787</v>
      </c>
      <c r="F226" s="239"/>
      <c r="G226" s="188" t="str">
        <f t="shared" si="16"/>
        <v/>
      </c>
      <c r="H226" s="236" t="str">
        <f t="shared" si="17"/>
        <v/>
      </c>
      <c r="I226" s="237"/>
    </row>
    <row r="227" spans="1:9">
      <c r="A227" s="232">
        <f t="shared" si="14"/>
        <v>225</v>
      </c>
      <c r="B227" s="233">
        <v>45669</v>
      </c>
      <c r="C227" s="234">
        <v>87.426428000000001</v>
      </c>
      <c r="D227" s="235">
        <v>92.067993699548055</v>
      </c>
      <c r="E227" s="234">
        <f t="shared" si="15"/>
        <v>87.426428000000001</v>
      </c>
      <c r="F227" s="239"/>
      <c r="G227" s="188" t="str">
        <f t="shared" si="16"/>
        <v/>
      </c>
      <c r="H227" s="236" t="str">
        <f t="shared" si="17"/>
        <v/>
      </c>
      <c r="I227" s="237"/>
    </row>
    <row r="228" spans="1:9">
      <c r="A228" s="232">
        <f t="shared" si="14"/>
        <v>226</v>
      </c>
      <c r="B228" s="233">
        <v>45670</v>
      </c>
      <c r="C228" s="234">
        <v>110.02188000000001</v>
      </c>
      <c r="D228" s="235">
        <v>92.067993699548055</v>
      </c>
      <c r="E228" s="234">
        <f t="shared" si="15"/>
        <v>92.067993699548055</v>
      </c>
      <c r="F228" s="239"/>
      <c r="G228" s="188" t="str">
        <f t="shared" si="16"/>
        <v/>
      </c>
      <c r="H228" s="236" t="str">
        <f t="shared" si="17"/>
        <v/>
      </c>
      <c r="I228" s="237"/>
    </row>
    <row r="229" spans="1:9">
      <c r="A229" s="232">
        <f t="shared" si="14"/>
        <v>227</v>
      </c>
      <c r="B229" s="233">
        <v>45671</v>
      </c>
      <c r="C229" s="234">
        <v>113.38599400000001</v>
      </c>
      <c r="D229" s="235">
        <v>92.067993699548055</v>
      </c>
      <c r="E229" s="234">
        <f t="shared" si="15"/>
        <v>92.067993699548055</v>
      </c>
      <c r="F229" s="239"/>
      <c r="G229" s="188" t="str">
        <f t="shared" si="16"/>
        <v/>
      </c>
      <c r="H229" s="236" t="str">
        <f t="shared" si="17"/>
        <v/>
      </c>
      <c r="I229" s="237"/>
    </row>
    <row r="230" spans="1:9">
      <c r="A230" s="232">
        <f t="shared" si="14"/>
        <v>228</v>
      </c>
      <c r="B230" s="233">
        <v>45672</v>
      </c>
      <c r="C230" s="234">
        <v>113.067291</v>
      </c>
      <c r="D230" s="235">
        <v>92.067993699548055</v>
      </c>
      <c r="E230" s="234">
        <f t="shared" si="15"/>
        <v>92.067993699548055</v>
      </c>
      <c r="F230" s="239"/>
      <c r="G230" s="188" t="str">
        <f t="shared" si="16"/>
        <v>E</v>
      </c>
      <c r="H230" s="236" t="str">
        <f t="shared" si="17"/>
        <v>92,1</v>
      </c>
      <c r="I230" s="237"/>
    </row>
    <row r="231" spans="1:9">
      <c r="A231" s="232">
        <f t="shared" si="14"/>
        <v>229</v>
      </c>
      <c r="B231" s="233">
        <v>45673</v>
      </c>
      <c r="C231" s="234">
        <v>103.141784</v>
      </c>
      <c r="D231" s="235">
        <v>92.067993699548055</v>
      </c>
      <c r="E231" s="234">
        <f t="shared" si="15"/>
        <v>92.067993699548055</v>
      </c>
      <c r="F231" s="239"/>
      <c r="G231" s="188" t="str">
        <f t="shared" si="16"/>
        <v/>
      </c>
      <c r="H231" s="236" t="str">
        <f t="shared" si="17"/>
        <v/>
      </c>
      <c r="I231" s="237"/>
    </row>
    <row r="232" spans="1:9">
      <c r="A232" s="232">
        <f t="shared" si="14"/>
        <v>230</v>
      </c>
      <c r="B232" s="233">
        <v>45674</v>
      </c>
      <c r="C232" s="234">
        <v>100.807782</v>
      </c>
      <c r="D232" s="235">
        <v>92.067993699548055</v>
      </c>
      <c r="E232" s="234">
        <f t="shared" si="15"/>
        <v>92.067993699548055</v>
      </c>
      <c r="F232" s="239"/>
      <c r="G232" s="188" t="str">
        <f t="shared" si="16"/>
        <v/>
      </c>
      <c r="H232" s="236" t="str">
        <f t="shared" si="17"/>
        <v/>
      </c>
      <c r="I232" s="237"/>
    </row>
    <row r="233" spans="1:9">
      <c r="A233" s="232">
        <f t="shared" si="14"/>
        <v>231</v>
      </c>
      <c r="B233" s="233">
        <v>45675</v>
      </c>
      <c r="C233" s="234">
        <v>115.248152</v>
      </c>
      <c r="D233" s="235">
        <v>92.067993699548055</v>
      </c>
      <c r="E233" s="234">
        <f t="shared" si="15"/>
        <v>92.067993699548055</v>
      </c>
      <c r="F233" s="239"/>
      <c r="G233" s="188" t="str">
        <f t="shared" si="16"/>
        <v/>
      </c>
      <c r="H233" s="236" t="str">
        <f t="shared" si="17"/>
        <v/>
      </c>
      <c r="I233" s="237"/>
    </row>
    <row r="234" spans="1:9">
      <c r="A234" s="232">
        <f t="shared" si="14"/>
        <v>232</v>
      </c>
      <c r="B234" s="233">
        <v>45676</v>
      </c>
      <c r="C234" s="234">
        <v>97.667756999999995</v>
      </c>
      <c r="D234" s="235">
        <v>92.067993699548055</v>
      </c>
      <c r="E234" s="234">
        <f t="shared" si="15"/>
        <v>92.067993699548055</v>
      </c>
      <c r="F234" s="239"/>
      <c r="G234" s="188" t="str">
        <f t="shared" si="16"/>
        <v/>
      </c>
      <c r="H234" s="236" t="str">
        <f t="shared" si="17"/>
        <v/>
      </c>
      <c r="I234" s="237"/>
    </row>
    <row r="235" spans="1:9">
      <c r="A235" s="232">
        <f t="shared" si="14"/>
        <v>233</v>
      </c>
      <c r="B235" s="233">
        <v>45677</v>
      </c>
      <c r="C235" s="234">
        <v>26.655028999999999</v>
      </c>
      <c r="D235" s="235">
        <v>92.067993699548055</v>
      </c>
      <c r="E235" s="234">
        <f t="shared" si="15"/>
        <v>26.655028999999999</v>
      </c>
      <c r="F235" s="239"/>
      <c r="G235" s="188" t="str">
        <f t="shared" si="16"/>
        <v/>
      </c>
      <c r="H235" s="236" t="str">
        <f t="shared" si="17"/>
        <v/>
      </c>
      <c r="I235" s="237"/>
    </row>
    <row r="236" spans="1:9">
      <c r="A236" s="232">
        <f t="shared" si="14"/>
        <v>234</v>
      </c>
      <c r="B236" s="233">
        <v>45678</v>
      </c>
      <c r="C236" s="234">
        <v>32.589661</v>
      </c>
      <c r="D236" s="235">
        <v>92.067993699548055</v>
      </c>
      <c r="E236" s="234">
        <f t="shared" si="15"/>
        <v>32.589661</v>
      </c>
      <c r="F236" s="239"/>
      <c r="G236" s="188" t="str">
        <f t="shared" si="16"/>
        <v/>
      </c>
      <c r="H236" s="236" t="str">
        <f t="shared" si="17"/>
        <v/>
      </c>
      <c r="I236" s="237"/>
    </row>
    <row r="237" spans="1:9">
      <c r="A237" s="232">
        <f t="shared" si="14"/>
        <v>235</v>
      </c>
      <c r="B237" s="233">
        <v>45679</v>
      </c>
      <c r="C237" s="234">
        <v>45.809493000000003</v>
      </c>
      <c r="D237" s="235">
        <v>92.067993699548055</v>
      </c>
      <c r="E237" s="234">
        <f t="shared" si="15"/>
        <v>45.809493000000003</v>
      </c>
      <c r="F237" s="239"/>
      <c r="G237" s="188" t="str">
        <f t="shared" si="16"/>
        <v/>
      </c>
      <c r="H237" s="236" t="str">
        <f t="shared" si="17"/>
        <v/>
      </c>
      <c r="I237" s="237"/>
    </row>
    <row r="238" spans="1:9">
      <c r="A238" s="232">
        <f t="shared" si="14"/>
        <v>236</v>
      </c>
      <c r="B238" s="233">
        <v>45680</v>
      </c>
      <c r="C238" s="234">
        <v>69.363523000000001</v>
      </c>
      <c r="D238" s="235">
        <v>92.067993699548055</v>
      </c>
      <c r="E238" s="234">
        <f t="shared" si="15"/>
        <v>69.363523000000001</v>
      </c>
      <c r="F238" s="239"/>
      <c r="G238" s="188" t="str">
        <f t="shared" si="16"/>
        <v/>
      </c>
      <c r="H238" s="236" t="str">
        <f t="shared" si="17"/>
        <v/>
      </c>
      <c r="I238" s="237"/>
    </row>
    <row r="239" spans="1:9">
      <c r="A239" s="232">
        <f t="shared" si="14"/>
        <v>237</v>
      </c>
      <c r="B239" s="233">
        <v>45681</v>
      </c>
      <c r="C239" s="234">
        <v>62.949872999999997</v>
      </c>
      <c r="D239" s="235">
        <v>92.067993699548055</v>
      </c>
      <c r="E239" s="234">
        <f t="shared" si="15"/>
        <v>62.949872999999997</v>
      </c>
      <c r="F239" s="239"/>
      <c r="G239" s="188" t="str">
        <f t="shared" si="16"/>
        <v/>
      </c>
      <c r="H239" s="236" t="str">
        <f t="shared" si="17"/>
        <v/>
      </c>
      <c r="I239" s="237"/>
    </row>
    <row r="240" spans="1:9">
      <c r="A240" s="232">
        <f t="shared" si="14"/>
        <v>238</v>
      </c>
      <c r="B240" s="233">
        <v>45682</v>
      </c>
      <c r="C240" s="234">
        <v>47.528025</v>
      </c>
      <c r="D240" s="235">
        <v>92.067993699548055</v>
      </c>
      <c r="E240" s="234">
        <f t="shared" si="15"/>
        <v>47.528025</v>
      </c>
      <c r="F240" s="239"/>
      <c r="G240" s="188" t="str">
        <f t="shared" si="16"/>
        <v/>
      </c>
      <c r="H240" s="236" t="str">
        <f t="shared" si="17"/>
        <v/>
      </c>
      <c r="I240" s="237"/>
    </row>
    <row r="241" spans="1:9">
      <c r="A241" s="232">
        <f t="shared" si="14"/>
        <v>239</v>
      </c>
      <c r="B241" s="233">
        <v>45683</v>
      </c>
      <c r="C241" s="234">
        <v>41.385731</v>
      </c>
      <c r="D241" s="235">
        <v>92.067993699548055</v>
      </c>
      <c r="E241" s="234">
        <f t="shared" si="15"/>
        <v>41.385731</v>
      </c>
      <c r="F241" s="239"/>
      <c r="G241" s="188" t="str">
        <f t="shared" si="16"/>
        <v/>
      </c>
      <c r="H241" s="236" t="str">
        <f t="shared" si="17"/>
        <v/>
      </c>
      <c r="I241" s="237"/>
    </row>
    <row r="242" spans="1:9">
      <c r="A242" s="232">
        <f t="shared" si="14"/>
        <v>240</v>
      </c>
      <c r="B242" s="233">
        <v>45684</v>
      </c>
      <c r="C242" s="234">
        <v>47.163074000000002</v>
      </c>
      <c r="D242" s="235">
        <v>92.067993699548055</v>
      </c>
      <c r="E242" s="234">
        <f t="shared" si="15"/>
        <v>47.163074000000002</v>
      </c>
      <c r="F242" s="239"/>
      <c r="G242" s="188" t="str">
        <f t="shared" si="16"/>
        <v/>
      </c>
      <c r="H242" s="236" t="str">
        <f t="shared" si="17"/>
        <v/>
      </c>
      <c r="I242" s="237"/>
    </row>
    <row r="243" spans="1:9">
      <c r="A243" s="232">
        <f t="shared" si="14"/>
        <v>241</v>
      </c>
      <c r="B243" s="233">
        <v>45685</v>
      </c>
      <c r="C243" s="234">
        <v>73.550073999999995</v>
      </c>
      <c r="D243" s="235">
        <v>92.067993699548055</v>
      </c>
      <c r="E243" s="234">
        <f t="shared" si="15"/>
        <v>73.550073999999995</v>
      </c>
      <c r="F243" s="239"/>
      <c r="G243" s="188" t="str">
        <f t="shared" si="16"/>
        <v/>
      </c>
      <c r="H243" s="236" t="str">
        <f t="shared" si="17"/>
        <v/>
      </c>
      <c r="I243" s="237"/>
    </row>
    <row r="244" spans="1:9">
      <c r="A244" s="232">
        <f t="shared" si="14"/>
        <v>242</v>
      </c>
      <c r="B244" s="233">
        <v>45686</v>
      </c>
      <c r="C244" s="234">
        <v>33.501505999999999</v>
      </c>
      <c r="D244" s="235">
        <v>92.067993699548055</v>
      </c>
      <c r="E244" s="234">
        <f t="shared" si="15"/>
        <v>33.501505999999999</v>
      </c>
      <c r="F244" s="239"/>
      <c r="G244" s="188" t="str">
        <f t="shared" si="16"/>
        <v/>
      </c>
      <c r="H244" s="236" t="str">
        <f t="shared" si="17"/>
        <v/>
      </c>
      <c r="I244" s="237"/>
    </row>
    <row r="245" spans="1:9">
      <c r="A245" s="232">
        <f t="shared" si="14"/>
        <v>243</v>
      </c>
      <c r="B245" s="233">
        <v>45687</v>
      </c>
      <c r="C245" s="234">
        <v>90.723089999999999</v>
      </c>
      <c r="D245" s="235">
        <v>92.067993699548055</v>
      </c>
      <c r="E245" s="234">
        <f t="shared" si="15"/>
        <v>90.723089999999999</v>
      </c>
      <c r="F245" s="239"/>
      <c r="G245" s="188" t="str">
        <f t="shared" si="16"/>
        <v/>
      </c>
      <c r="H245" s="236" t="str">
        <f t="shared" si="17"/>
        <v/>
      </c>
      <c r="I245" s="237"/>
    </row>
    <row r="246" spans="1:9">
      <c r="A246" s="232">
        <f t="shared" si="14"/>
        <v>244</v>
      </c>
      <c r="B246" s="233">
        <v>45688</v>
      </c>
      <c r="C246" s="234">
        <v>122.06198199999999</v>
      </c>
      <c r="D246" s="235">
        <v>92.067993699548055</v>
      </c>
      <c r="E246" s="234">
        <f t="shared" si="15"/>
        <v>92.067993699548055</v>
      </c>
      <c r="F246" s="239"/>
      <c r="G246" s="188" t="str">
        <f t="shared" si="16"/>
        <v/>
      </c>
      <c r="H246" s="236" t="str">
        <f t="shared" si="17"/>
        <v/>
      </c>
      <c r="I246" s="237"/>
    </row>
    <row r="247" spans="1:9">
      <c r="A247" s="232">
        <f t="shared" si="14"/>
        <v>245</v>
      </c>
      <c r="B247" s="233">
        <v>45689</v>
      </c>
      <c r="C247" s="234">
        <v>113.19203400000001</v>
      </c>
      <c r="D247" s="235">
        <v>118.76239974394448</v>
      </c>
      <c r="E247" s="234">
        <f t="shared" si="15"/>
        <v>113.19203400000001</v>
      </c>
      <c r="F247" s="237"/>
      <c r="G247" s="188" t="str">
        <f t="shared" si="16"/>
        <v/>
      </c>
      <c r="H247" s="236" t="str">
        <f t="shared" si="17"/>
        <v/>
      </c>
      <c r="I247" s="237"/>
    </row>
    <row r="248" spans="1:9">
      <c r="A248" s="232">
        <f t="shared" si="14"/>
        <v>246</v>
      </c>
      <c r="B248" s="233">
        <v>45690</v>
      </c>
      <c r="C248" s="234">
        <v>81.617047999999997</v>
      </c>
      <c r="D248" s="235">
        <v>118.76239974394448</v>
      </c>
      <c r="E248" s="234">
        <f t="shared" si="15"/>
        <v>81.617047999999997</v>
      </c>
      <c r="F248" s="239"/>
      <c r="G248" s="188" t="str">
        <f t="shared" si="16"/>
        <v/>
      </c>
      <c r="H248" s="236" t="str">
        <f t="shared" si="17"/>
        <v/>
      </c>
      <c r="I248" s="237"/>
    </row>
    <row r="249" spans="1:9">
      <c r="A249" s="232">
        <f t="shared" si="14"/>
        <v>247</v>
      </c>
      <c r="B249" s="233">
        <v>45691</v>
      </c>
      <c r="C249" s="234">
        <v>105.36175299999999</v>
      </c>
      <c r="D249" s="235">
        <v>118.76239974394448</v>
      </c>
      <c r="E249" s="234">
        <f t="shared" si="15"/>
        <v>105.36175299999999</v>
      </c>
      <c r="F249" s="239"/>
      <c r="G249" s="188" t="str">
        <f t="shared" si="16"/>
        <v/>
      </c>
      <c r="H249" s="236" t="str">
        <f t="shared" si="17"/>
        <v/>
      </c>
      <c r="I249" s="237"/>
    </row>
    <row r="250" spans="1:9">
      <c r="A250" s="232">
        <f t="shared" si="14"/>
        <v>248</v>
      </c>
      <c r="B250" s="233">
        <v>45692</v>
      </c>
      <c r="C250" s="234">
        <v>126.665806</v>
      </c>
      <c r="D250" s="235">
        <v>118.76239974394448</v>
      </c>
      <c r="E250" s="234">
        <f t="shared" si="15"/>
        <v>118.76239974394448</v>
      </c>
      <c r="F250" s="239"/>
      <c r="G250" s="188" t="str">
        <f t="shared" si="16"/>
        <v/>
      </c>
      <c r="H250" s="236" t="str">
        <f t="shared" si="17"/>
        <v/>
      </c>
      <c r="I250" s="237"/>
    </row>
    <row r="251" spans="1:9">
      <c r="A251" s="232">
        <f t="shared" si="14"/>
        <v>249</v>
      </c>
      <c r="B251" s="233">
        <v>45693</v>
      </c>
      <c r="C251" s="234">
        <v>135.84129000000001</v>
      </c>
      <c r="D251" s="235">
        <v>118.76239974394448</v>
      </c>
      <c r="E251" s="234">
        <f t="shared" si="15"/>
        <v>118.76239974394448</v>
      </c>
      <c r="F251" s="239"/>
      <c r="G251" s="188" t="str">
        <f t="shared" si="16"/>
        <v/>
      </c>
      <c r="H251" s="236" t="str">
        <f t="shared" si="17"/>
        <v/>
      </c>
      <c r="I251" s="237"/>
    </row>
    <row r="252" spans="1:9">
      <c r="A252" s="232">
        <f t="shared" si="14"/>
        <v>250</v>
      </c>
      <c r="B252" s="233">
        <v>45694</v>
      </c>
      <c r="C252" s="234">
        <v>138.42690599999997</v>
      </c>
      <c r="D252" s="235">
        <v>118.76239974394448</v>
      </c>
      <c r="E252" s="234">
        <f t="shared" si="15"/>
        <v>118.76239974394448</v>
      </c>
      <c r="F252" s="239"/>
      <c r="G252" s="188" t="str">
        <f t="shared" si="16"/>
        <v/>
      </c>
      <c r="H252" s="236" t="str">
        <f t="shared" si="17"/>
        <v/>
      </c>
      <c r="I252" s="237"/>
    </row>
    <row r="253" spans="1:9">
      <c r="A253" s="232">
        <f t="shared" si="14"/>
        <v>251</v>
      </c>
      <c r="B253" s="233">
        <v>45695</v>
      </c>
      <c r="C253" s="234">
        <v>84.064771999999991</v>
      </c>
      <c r="D253" s="235">
        <v>118.76239974394448</v>
      </c>
      <c r="E253" s="234">
        <f t="shared" si="15"/>
        <v>84.064771999999991</v>
      </c>
      <c r="F253" s="239"/>
      <c r="G253" s="188" t="str">
        <f t="shared" si="16"/>
        <v/>
      </c>
      <c r="H253" s="236" t="str">
        <f t="shared" si="17"/>
        <v/>
      </c>
      <c r="I253" s="237"/>
    </row>
    <row r="254" spans="1:9">
      <c r="A254" s="232">
        <f t="shared" si="14"/>
        <v>252</v>
      </c>
      <c r="B254" s="233">
        <v>45696</v>
      </c>
      <c r="C254" s="234">
        <v>119.45000900000001</v>
      </c>
      <c r="D254" s="235">
        <v>118.76239974394448</v>
      </c>
      <c r="E254" s="234">
        <f t="shared" si="15"/>
        <v>118.76239974394448</v>
      </c>
      <c r="F254" s="239"/>
      <c r="G254" s="188" t="str">
        <f t="shared" si="16"/>
        <v/>
      </c>
      <c r="H254" s="236" t="str">
        <f t="shared" si="17"/>
        <v/>
      </c>
      <c r="I254" s="237"/>
    </row>
    <row r="255" spans="1:9">
      <c r="A255" s="232">
        <f t="shared" si="14"/>
        <v>253</v>
      </c>
      <c r="B255" s="233">
        <v>45697</v>
      </c>
      <c r="C255" s="234">
        <v>117.61328</v>
      </c>
      <c r="D255" s="235">
        <v>118.76239974394448</v>
      </c>
      <c r="E255" s="234">
        <f t="shared" si="15"/>
        <v>117.61328</v>
      </c>
      <c r="F255" s="239"/>
      <c r="G255" s="188" t="str">
        <f t="shared" si="16"/>
        <v/>
      </c>
      <c r="H255" s="236" t="str">
        <f t="shared" si="17"/>
        <v/>
      </c>
      <c r="I255" s="237"/>
    </row>
    <row r="256" spans="1:9">
      <c r="A256" s="232">
        <f t="shared" si="14"/>
        <v>254</v>
      </c>
      <c r="B256" s="233">
        <v>45698</v>
      </c>
      <c r="C256" s="234">
        <v>89.395330000000001</v>
      </c>
      <c r="D256" s="235">
        <v>118.76239974394448</v>
      </c>
      <c r="E256" s="234">
        <f t="shared" si="15"/>
        <v>89.395330000000001</v>
      </c>
      <c r="F256" s="239"/>
      <c r="G256" s="188" t="str">
        <f t="shared" si="16"/>
        <v/>
      </c>
      <c r="H256" s="236" t="str">
        <f t="shared" si="17"/>
        <v/>
      </c>
      <c r="I256" s="237"/>
    </row>
    <row r="257" spans="1:9">
      <c r="A257" s="232">
        <f t="shared" si="14"/>
        <v>255</v>
      </c>
      <c r="B257" s="233">
        <v>45699</v>
      </c>
      <c r="C257" s="234">
        <v>88.297251999999986</v>
      </c>
      <c r="D257" s="235">
        <v>118.76239974394448</v>
      </c>
      <c r="E257" s="234">
        <f t="shared" si="15"/>
        <v>88.297251999999986</v>
      </c>
      <c r="F257" s="239"/>
      <c r="G257" s="188" t="str">
        <f t="shared" si="16"/>
        <v/>
      </c>
      <c r="H257" s="236" t="str">
        <f t="shared" si="17"/>
        <v/>
      </c>
      <c r="I257" s="237"/>
    </row>
    <row r="258" spans="1:9">
      <c r="A258" s="232">
        <f t="shared" si="14"/>
        <v>256</v>
      </c>
      <c r="B258" s="233">
        <v>45700</v>
      </c>
      <c r="C258" s="234">
        <v>101.45506900000001</v>
      </c>
      <c r="D258" s="235">
        <v>118.76239974394448</v>
      </c>
      <c r="E258" s="234">
        <f t="shared" si="15"/>
        <v>101.45506900000001</v>
      </c>
      <c r="F258" s="239"/>
      <c r="G258" s="188" t="str">
        <f t="shared" si="16"/>
        <v/>
      </c>
      <c r="H258" s="236" t="str">
        <f t="shared" si="17"/>
        <v/>
      </c>
      <c r="I258" s="237"/>
    </row>
    <row r="259" spans="1:9">
      <c r="A259" s="232">
        <f t="shared" si="14"/>
        <v>257</v>
      </c>
      <c r="B259" s="233">
        <v>45701</v>
      </c>
      <c r="C259" s="234">
        <v>133.32131899999999</v>
      </c>
      <c r="D259" s="235">
        <v>118.76239974394448</v>
      </c>
      <c r="E259" s="234">
        <f t="shared" si="15"/>
        <v>118.76239974394448</v>
      </c>
      <c r="F259" s="239"/>
      <c r="G259" s="188" t="str">
        <f t="shared" si="16"/>
        <v/>
      </c>
      <c r="H259" s="236" t="str">
        <f t="shared" si="17"/>
        <v/>
      </c>
      <c r="I259" s="237"/>
    </row>
    <row r="260" spans="1:9">
      <c r="A260" s="232">
        <f t="shared" ref="A260:A323" si="18">+A259+1</f>
        <v>258</v>
      </c>
      <c r="B260" s="233">
        <v>45702</v>
      </c>
      <c r="C260" s="234">
        <v>137.80603500000001</v>
      </c>
      <c r="D260" s="235">
        <v>118.76239974394448</v>
      </c>
      <c r="E260" s="234">
        <f t="shared" ref="E260:E323" si="19">IF(C260&gt;D260,D260,C260)</f>
        <v>118.76239974394448</v>
      </c>
      <c r="F260" s="239"/>
      <c r="G260" s="188" t="str">
        <f t="shared" ref="G260:G323" si="20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s="236" t="str">
        <f t="shared" ref="H260:H323" si="21">IF(DAY($B260)=15,TEXT(D260,"#,0"),"")</f>
        <v/>
      </c>
      <c r="I260" s="237"/>
    </row>
    <row r="261" spans="1:9">
      <c r="A261" s="232">
        <f t="shared" si="18"/>
        <v>259</v>
      </c>
      <c r="B261" s="233">
        <v>45703</v>
      </c>
      <c r="C261" s="234">
        <v>108.93982200000001</v>
      </c>
      <c r="D261" s="235">
        <v>118.76239974394448</v>
      </c>
      <c r="E261" s="234">
        <f t="shared" si="19"/>
        <v>108.93982200000001</v>
      </c>
      <c r="F261" s="239"/>
      <c r="G261" s="188" t="str">
        <f t="shared" si="20"/>
        <v>F</v>
      </c>
      <c r="H261" s="236" t="str">
        <f t="shared" si="21"/>
        <v>118,8</v>
      </c>
      <c r="I261" s="237"/>
    </row>
    <row r="262" spans="1:9">
      <c r="A262" s="232">
        <f t="shared" si="18"/>
        <v>260</v>
      </c>
      <c r="B262" s="233">
        <v>45704</v>
      </c>
      <c r="C262" s="234">
        <v>127.567578</v>
      </c>
      <c r="D262" s="235">
        <v>118.76239974394448</v>
      </c>
      <c r="E262" s="234">
        <f t="shared" si="19"/>
        <v>118.76239974394448</v>
      </c>
      <c r="F262" s="239"/>
      <c r="G262" s="188" t="str">
        <f t="shared" si="20"/>
        <v/>
      </c>
      <c r="H262" s="236" t="str">
        <f t="shared" si="21"/>
        <v/>
      </c>
      <c r="I262" s="237"/>
    </row>
    <row r="263" spans="1:9">
      <c r="A263" s="232">
        <f t="shared" si="18"/>
        <v>261</v>
      </c>
      <c r="B263" s="233">
        <v>45705</v>
      </c>
      <c r="C263" s="234">
        <v>119.12442200000001</v>
      </c>
      <c r="D263" s="235">
        <v>118.76239974394448</v>
      </c>
      <c r="E263" s="234">
        <f t="shared" si="19"/>
        <v>118.76239974394448</v>
      </c>
      <c r="F263" s="239"/>
      <c r="G263" s="188" t="str">
        <f t="shared" si="20"/>
        <v/>
      </c>
      <c r="H263" s="236" t="str">
        <f t="shared" si="21"/>
        <v/>
      </c>
      <c r="I263" s="237"/>
    </row>
    <row r="264" spans="1:9">
      <c r="A264" s="232">
        <f t="shared" si="18"/>
        <v>262</v>
      </c>
      <c r="B264" s="233">
        <v>45706</v>
      </c>
      <c r="C264" s="234">
        <v>86.21818300000001</v>
      </c>
      <c r="D264" s="235">
        <v>118.76239974394448</v>
      </c>
      <c r="E264" s="234">
        <f t="shared" si="19"/>
        <v>86.21818300000001</v>
      </c>
      <c r="F264" s="239"/>
      <c r="G264" s="188" t="str">
        <f t="shared" si="20"/>
        <v/>
      </c>
      <c r="H264" s="236" t="str">
        <f t="shared" si="21"/>
        <v/>
      </c>
      <c r="I264" s="237"/>
    </row>
    <row r="265" spans="1:9">
      <c r="A265" s="232">
        <f t="shared" si="18"/>
        <v>263</v>
      </c>
      <c r="B265" s="233">
        <v>45707</v>
      </c>
      <c r="C265" s="234">
        <v>111.382293</v>
      </c>
      <c r="D265" s="235">
        <v>118.76239974394448</v>
      </c>
      <c r="E265" s="234">
        <f t="shared" si="19"/>
        <v>111.382293</v>
      </c>
      <c r="F265" s="239"/>
      <c r="G265" s="188" t="str">
        <f t="shared" si="20"/>
        <v/>
      </c>
      <c r="H265" s="236" t="str">
        <f t="shared" si="21"/>
        <v/>
      </c>
      <c r="I265" s="237"/>
    </row>
    <row r="266" spans="1:9">
      <c r="A266" s="232">
        <f t="shared" si="18"/>
        <v>264</v>
      </c>
      <c r="B266" s="233">
        <v>45708</v>
      </c>
      <c r="C266" s="234">
        <v>135.50178</v>
      </c>
      <c r="D266" s="235">
        <v>118.76239974394448</v>
      </c>
      <c r="E266" s="234">
        <f t="shared" si="19"/>
        <v>118.76239974394448</v>
      </c>
      <c r="F266" s="239"/>
      <c r="G266" s="188" t="str">
        <f t="shared" si="20"/>
        <v/>
      </c>
      <c r="H266" s="236" t="str">
        <f t="shared" si="21"/>
        <v/>
      </c>
      <c r="I266" s="237"/>
    </row>
    <row r="267" spans="1:9">
      <c r="A267" s="232">
        <f t="shared" si="18"/>
        <v>265</v>
      </c>
      <c r="B267" s="233">
        <v>45709</v>
      </c>
      <c r="C267" s="234">
        <v>77.587505000000007</v>
      </c>
      <c r="D267" s="235">
        <v>118.76239974394448</v>
      </c>
      <c r="E267" s="234">
        <f t="shared" si="19"/>
        <v>77.587505000000007</v>
      </c>
      <c r="F267" s="239"/>
      <c r="G267" s="188" t="str">
        <f t="shared" si="20"/>
        <v/>
      </c>
      <c r="H267" s="236" t="str">
        <f t="shared" si="21"/>
        <v/>
      </c>
      <c r="I267" s="237"/>
    </row>
    <row r="268" spans="1:9">
      <c r="A268" s="232">
        <f t="shared" si="18"/>
        <v>266</v>
      </c>
      <c r="B268" s="233">
        <v>45710</v>
      </c>
      <c r="C268" s="234">
        <v>100.87310099999999</v>
      </c>
      <c r="D268" s="235">
        <v>118.76239974394448</v>
      </c>
      <c r="E268" s="234">
        <f t="shared" si="19"/>
        <v>100.87310099999999</v>
      </c>
      <c r="F268" s="239"/>
      <c r="G268" s="188" t="str">
        <f t="shared" si="20"/>
        <v/>
      </c>
      <c r="H268" s="236" t="str">
        <f t="shared" si="21"/>
        <v/>
      </c>
      <c r="I268" s="237"/>
    </row>
    <row r="269" spans="1:9">
      <c r="A269" s="232">
        <f t="shared" si="18"/>
        <v>267</v>
      </c>
      <c r="B269" s="233">
        <v>45711</v>
      </c>
      <c r="C269" s="234">
        <v>143.67226099999999</v>
      </c>
      <c r="D269" s="235">
        <v>118.76239974394448</v>
      </c>
      <c r="E269" s="234">
        <f t="shared" si="19"/>
        <v>118.76239974394448</v>
      </c>
      <c r="F269" s="239"/>
      <c r="G269" s="188" t="str">
        <f t="shared" si="20"/>
        <v/>
      </c>
      <c r="H269" s="236" t="str">
        <f t="shared" si="21"/>
        <v/>
      </c>
      <c r="I269" s="237"/>
    </row>
    <row r="270" spans="1:9">
      <c r="A270" s="232">
        <f t="shared" si="18"/>
        <v>268</v>
      </c>
      <c r="B270" s="233">
        <v>45712</v>
      </c>
      <c r="C270" s="234">
        <v>123.26893700000001</v>
      </c>
      <c r="D270" s="235">
        <v>118.76239974394448</v>
      </c>
      <c r="E270" s="234">
        <f t="shared" si="19"/>
        <v>118.76239974394448</v>
      </c>
      <c r="F270" s="239"/>
      <c r="G270" s="188" t="str">
        <f t="shared" si="20"/>
        <v/>
      </c>
      <c r="H270" s="236" t="str">
        <f t="shared" si="21"/>
        <v/>
      </c>
      <c r="I270" s="237"/>
    </row>
    <row r="271" spans="1:9">
      <c r="A271" s="232">
        <f t="shared" si="18"/>
        <v>269</v>
      </c>
      <c r="B271" s="233">
        <v>45713</v>
      </c>
      <c r="C271" s="234">
        <v>82.490465</v>
      </c>
      <c r="D271" s="235">
        <v>118.76239974394448</v>
      </c>
      <c r="E271" s="234">
        <f t="shared" si="19"/>
        <v>82.490465</v>
      </c>
      <c r="F271" s="239"/>
      <c r="G271" s="188" t="str">
        <f t="shared" si="20"/>
        <v/>
      </c>
      <c r="H271" s="236" t="str">
        <f t="shared" si="21"/>
        <v/>
      </c>
      <c r="I271" s="237"/>
    </row>
    <row r="272" spans="1:9">
      <c r="A272" s="232">
        <f t="shared" si="18"/>
        <v>270</v>
      </c>
      <c r="B272" s="233">
        <v>45714</v>
      </c>
      <c r="C272" s="234">
        <v>151.129234</v>
      </c>
      <c r="D272" s="235">
        <v>118.76239974394448</v>
      </c>
      <c r="E272" s="234">
        <f t="shared" si="19"/>
        <v>118.76239974394448</v>
      </c>
      <c r="F272" s="239"/>
      <c r="G272" s="188" t="str">
        <f t="shared" si="20"/>
        <v/>
      </c>
      <c r="H272" s="236" t="str">
        <f t="shared" si="21"/>
        <v/>
      </c>
      <c r="I272" s="237"/>
    </row>
    <row r="273" spans="1:9">
      <c r="A273" s="232">
        <f t="shared" si="18"/>
        <v>271</v>
      </c>
      <c r="B273" s="233">
        <v>45715</v>
      </c>
      <c r="C273" s="234">
        <v>112.52909600000001</v>
      </c>
      <c r="D273" s="235">
        <v>118.76239974394448</v>
      </c>
      <c r="E273" s="234">
        <f t="shared" si="19"/>
        <v>112.52909600000001</v>
      </c>
      <c r="F273" s="239"/>
      <c r="G273" s="188" t="str">
        <f t="shared" si="20"/>
        <v/>
      </c>
      <c r="H273" s="236" t="str">
        <f t="shared" si="21"/>
        <v/>
      </c>
      <c r="I273" s="237"/>
    </row>
    <row r="274" spans="1:9">
      <c r="A274" s="232">
        <f t="shared" si="18"/>
        <v>272</v>
      </c>
      <c r="B274" s="233">
        <v>45716</v>
      </c>
      <c r="C274" s="234">
        <v>88.048738</v>
      </c>
      <c r="D274" s="235">
        <v>118.76239974394448</v>
      </c>
      <c r="E274" s="234">
        <f t="shared" si="19"/>
        <v>88.048738</v>
      </c>
      <c r="F274" s="239"/>
      <c r="G274" s="188" t="str">
        <f t="shared" si="20"/>
        <v/>
      </c>
      <c r="H274" s="236" t="str">
        <f t="shared" si="21"/>
        <v/>
      </c>
      <c r="I274" s="237"/>
    </row>
    <row r="275" spans="1:9">
      <c r="A275" s="232">
        <f t="shared" si="18"/>
        <v>273</v>
      </c>
      <c r="B275" s="233">
        <v>45717</v>
      </c>
      <c r="C275" s="234">
        <v>61.805408</v>
      </c>
      <c r="D275" s="235">
        <v>139.10652927703509</v>
      </c>
      <c r="E275" s="234">
        <f t="shared" si="19"/>
        <v>61.805408</v>
      </c>
      <c r="F275" s="239"/>
      <c r="G275" s="188" t="str">
        <f t="shared" si="20"/>
        <v/>
      </c>
      <c r="H275" s="236" t="str">
        <f t="shared" si="21"/>
        <v/>
      </c>
      <c r="I275" s="237"/>
    </row>
    <row r="276" spans="1:9">
      <c r="A276" s="232">
        <f t="shared" si="18"/>
        <v>274</v>
      </c>
      <c r="B276" s="233">
        <v>45718</v>
      </c>
      <c r="C276" s="234">
        <v>40.892375000000001</v>
      </c>
      <c r="D276" s="235">
        <v>139.10652927703509</v>
      </c>
      <c r="E276" s="234">
        <f t="shared" si="19"/>
        <v>40.892375000000001</v>
      </c>
      <c r="F276" s="239"/>
      <c r="G276" s="188" t="str">
        <f t="shared" si="20"/>
        <v/>
      </c>
      <c r="H276" s="236" t="str">
        <f t="shared" si="21"/>
        <v/>
      </c>
      <c r="I276" s="237"/>
    </row>
    <row r="277" spans="1:9">
      <c r="A277" s="232">
        <f t="shared" si="18"/>
        <v>275</v>
      </c>
      <c r="B277" s="233">
        <v>45719</v>
      </c>
      <c r="C277" s="234">
        <v>58.281362000000001</v>
      </c>
      <c r="D277" s="235">
        <v>139.10652927703509</v>
      </c>
      <c r="E277" s="234">
        <f t="shared" si="19"/>
        <v>58.281362000000001</v>
      </c>
      <c r="F277" s="237"/>
      <c r="G277" s="188" t="str">
        <f t="shared" si="20"/>
        <v/>
      </c>
      <c r="H277" s="236" t="str">
        <f t="shared" si="21"/>
        <v/>
      </c>
      <c r="I277" s="237"/>
    </row>
    <row r="278" spans="1:9">
      <c r="A278" s="232">
        <f t="shared" si="18"/>
        <v>276</v>
      </c>
      <c r="B278" s="233">
        <v>45720</v>
      </c>
      <c r="C278" s="234">
        <v>84.574604999999991</v>
      </c>
      <c r="D278" s="235">
        <v>139.10652927703509</v>
      </c>
      <c r="E278" s="234">
        <f t="shared" si="19"/>
        <v>84.574604999999991</v>
      </c>
      <c r="F278" s="239"/>
      <c r="G278" s="188" t="str">
        <f t="shared" si="20"/>
        <v/>
      </c>
      <c r="H278" s="236" t="str">
        <f t="shared" si="21"/>
        <v/>
      </c>
      <c r="I278" s="237"/>
    </row>
    <row r="279" spans="1:9">
      <c r="A279" s="232">
        <f t="shared" si="18"/>
        <v>277</v>
      </c>
      <c r="B279" s="233">
        <v>45721</v>
      </c>
      <c r="C279" s="234">
        <v>60.374578</v>
      </c>
      <c r="D279" s="235">
        <v>139.10652927703509</v>
      </c>
      <c r="E279" s="234">
        <f t="shared" si="19"/>
        <v>60.374578</v>
      </c>
      <c r="F279" s="239"/>
      <c r="G279" s="188" t="str">
        <f t="shared" si="20"/>
        <v/>
      </c>
      <c r="H279" s="236" t="str">
        <f t="shared" si="21"/>
        <v/>
      </c>
      <c r="I279" s="237"/>
    </row>
    <row r="280" spans="1:9">
      <c r="A280" s="232">
        <f t="shared" si="18"/>
        <v>278</v>
      </c>
      <c r="B280" s="233">
        <v>45722</v>
      </c>
      <c r="C280" s="234">
        <v>83.60669</v>
      </c>
      <c r="D280" s="235">
        <v>139.10652927703509</v>
      </c>
      <c r="E280" s="234">
        <f t="shared" si="19"/>
        <v>83.60669</v>
      </c>
      <c r="F280" s="239"/>
      <c r="G280" s="188" t="str">
        <f t="shared" si="20"/>
        <v/>
      </c>
      <c r="H280" s="236" t="str">
        <f t="shared" si="21"/>
        <v/>
      </c>
      <c r="I280" s="237"/>
    </row>
    <row r="281" spans="1:9">
      <c r="A281" s="232">
        <f t="shared" si="18"/>
        <v>279</v>
      </c>
      <c r="B281" s="233">
        <v>45723</v>
      </c>
      <c r="C281" s="234">
        <v>62.758946000000002</v>
      </c>
      <c r="D281" s="235">
        <v>139.10652927703509</v>
      </c>
      <c r="E281" s="234">
        <f t="shared" si="19"/>
        <v>62.758946000000002</v>
      </c>
      <c r="F281" s="239"/>
      <c r="G281" s="188" t="str">
        <f t="shared" si="20"/>
        <v/>
      </c>
      <c r="H281" s="236" t="str">
        <f t="shared" si="21"/>
        <v/>
      </c>
      <c r="I281" s="237"/>
    </row>
    <row r="282" spans="1:9">
      <c r="A282" s="232">
        <f t="shared" si="18"/>
        <v>280</v>
      </c>
      <c r="B282" s="233">
        <v>45724</v>
      </c>
      <c r="C282" s="234">
        <v>54.144190999999999</v>
      </c>
      <c r="D282" s="235">
        <v>139.10652927703509</v>
      </c>
      <c r="E282" s="234">
        <f t="shared" si="19"/>
        <v>54.144190999999999</v>
      </c>
      <c r="F282" s="239"/>
      <c r="G282" s="188" t="str">
        <f t="shared" si="20"/>
        <v/>
      </c>
      <c r="H282" s="236" t="str">
        <f t="shared" si="21"/>
        <v/>
      </c>
      <c r="I282" s="237"/>
    </row>
    <row r="283" spans="1:9">
      <c r="A283" s="232">
        <f t="shared" si="18"/>
        <v>281</v>
      </c>
      <c r="B283" s="233">
        <v>45725</v>
      </c>
      <c r="C283" s="234">
        <v>98.322231000000002</v>
      </c>
      <c r="D283" s="235">
        <v>139.10652927703509</v>
      </c>
      <c r="E283" s="234">
        <f t="shared" si="19"/>
        <v>98.322231000000002</v>
      </c>
      <c r="F283" s="239"/>
      <c r="G283" s="188" t="str">
        <f t="shared" si="20"/>
        <v/>
      </c>
      <c r="H283" s="236" t="str">
        <f t="shared" si="21"/>
        <v/>
      </c>
      <c r="I283" s="237"/>
    </row>
    <row r="284" spans="1:9">
      <c r="A284" s="232">
        <f t="shared" si="18"/>
        <v>282</v>
      </c>
      <c r="B284" s="233">
        <v>45726</v>
      </c>
      <c r="C284" s="234">
        <v>90.729952999999995</v>
      </c>
      <c r="D284" s="235">
        <v>139.10652927703509</v>
      </c>
      <c r="E284" s="234">
        <f t="shared" si="19"/>
        <v>90.729952999999995</v>
      </c>
      <c r="F284" s="239"/>
      <c r="G284" s="188" t="str">
        <f t="shared" si="20"/>
        <v/>
      </c>
      <c r="H284" s="236" t="str">
        <f t="shared" si="21"/>
        <v/>
      </c>
      <c r="I284" s="237"/>
    </row>
    <row r="285" spans="1:9">
      <c r="A285" s="232">
        <f t="shared" si="18"/>
        <v>283</v>
      </c>
      <c r="B285" s="233">
        <v>45727</v>
      </c>
      <c r="C285" s="234">
        <v>98.638045000000005</v>
      </c>
      <c r="D285" s="235">
        <v>139.10652927703509</v>
      </c>
      <c r="E285" s="234">
        <f t="shared" si="19"/>
        <v>98.638045000000005</v>
      </c>
      <c r="F285" s="239"/>
      <c r="G285" s="188" t="str">
        <f t="shared" si="20"/>
        <v/>
      </c>
      <c r="H285" s="236" t="str">
        <f t="shared" si="21"/>
        <v/>
      </c>
      <c r="I285" s="237"/>
    </row>
    <row r="286" spans="1:9">
      <c r="A286" s="232">
        <f t="shared" si="18"/>
        <v>284</v>
      </c>
      <c r="B286" s="233">
        <v>45728</v>
      </c>
      <c r="C286" s="234">
        <v>93.628560999999991</v>
      </c>
      <c r="D286" s="235">
        <v>139.10652927703509</v>
      </c>
      <c r="E286" s="234">
        <f t="shared" si="19"/>
        <v>93.628560999999991</v>
      </c>
      <c r="F286" s="239"/>
      <c r="G286" s="188" t="str">
        <f t="shared" si="20"/>
        <v/>
      </c>
      <c r="H286" s="236" t="str">
        <f t="shared" si="21"/>
        <v/>
      </c>
      <c r="I286" s="237"/>
    </row>
    <row r="287" spans="1:9">
      <c r="A287" s="232">
        <f t="shared" si="18"/>
        <v>285</v>
      </c>
      <c r="B287" s="233">
        <v>45729</v>
      </c>
      <c r="C287" s="234">
        <v>66.422049999999999</v>
      </c>
      <c r="D287" s="235">
        <v>139.10652927703509</v>
      </c>
      <c r="E287" s="234">
        <f t="shared" si="19"/>
        <v>66.422049999999999</v>
      </c>
      <c r="F287" s="239"/>
      <c r="G287" s="188" t="str">
        <f t="shared" si="20"/>
        <v/>
      </c>
      <c r="H287" s="236" t="str">
        <f t="shared" si="21"/>
        <v/>
      </c>
      <c r="I287" s="237"/>
    </row>
    <row r="288" spans="1:9">
      <c r="A288" s="232">
        <f t="shared" si="18"/>
        <v>286</v>
      </c>
      <c r="B288" s="233">
        <v>45730</v>
      </c>
      <c r="C288" s="234">
        <v>107.999302</v>
      </c>
      <c r="D288" s="235">
        <v>139.10652927703509</v>
      </c>
      <c r="E288" s="234">
        <f t="shared" si="19"/>
        <v>107.999302</v>
      </c>
      <c r="F288" s="239"/>
      <c r="G288" s="188" t="str">
        <f t="shared" si="20"/>
        <v/>
      </c>
      <c r="H288" s="236" t="str">
        <f t="shared" si="21"/>
        <v/>
      </c>
      <c r="I288" s="237"/>
    </row>
    <row r="289" spans="1:9">
      <c r="A289" s="232">
        <f t="shared" si="18"/>
        <v>287</v>
      </c>
      <c r="B289" s="233">
        <v>45731</v>
      </c>
      <c r="C289" s="234">
        <v>137.73954000000001</v>
      </c>
      <c r="D289" s="235">
        <v>139.10652927703509</v>
      </c>
      <c r="E289" s="234">
        <f t="shared" si="19"/>
        <v>137.73954000000001</v>
      </c>
      <c r="F289" s="239"/>
      <c r="G289" s="188" t="str">
        <f t="shared" si="20"/>
        <v>M</v>
      </c>
      <c r="H289" s="236" t="str">
        <f t="shared" si="21"/>
        <v>139,1</v>
      </c>
      <c r="I289" s="237"/>
    </row>
    <row r="290" spans="1:9">
      <c r="A290" s="232">
        <f t="shared" si="18"/>
        <v>288</v>
      </c>
      <c r="B290" s="233">
        <v>45732</v>
      </c>
      <c r="C290" s="234">
        <v>108.98410500000001</v>
      </c>
      <c r="D290" s="235">
        <v>139.10652927703509</v>
      </c>
      <c r="E290" s="234">
        <f t="shared" si="19"/>
        <v>108.98410500000001</v>
      </c>
      <c r="F290" s="239"/>
      <c r="G290" s="188" t="str">
        <f t="shared" si="20"/>
        <v/>
      </c>
      <c r="H290" s="236" t="str">
        <f t="shared" si="21"/>
        <v/>
      </c>
      <c r="I290" s="237"/>
    </row>
    <row r="291" spans="1:9">
      <c r="A291" s="232">
        <f t="shared" si="18"/>
        <v>289</v>
      </c>
      <c r="B291" s="233">
        <v>45733</v>
      </c>
      <c r="C291" s="234">
        <v>75.564635999999993</v>
      </c>
      <c r="D291" s="235">
        <v>139.10652927703509</v>
      </c>
      <c r="E291" s="234">
        <f t="shared" si="19"/>
        <v>75.564635999999993</v>
      </c>
      <c r="F291" s="239"/>
      <c r="G291" s="188" t="str">
        <f t="shared" si="20"/>
        <v/>
      </c>
      <c r="H291" s="236" t="str">
        <f t="shared" si="21"/>
        <v/>
      </c>
      <c r="I291" s="237"/>
    </row>
    <row r="292" spans="1:9">
      <c r="A292" s="232">
        <f t="shared" si="18"/>
        <v>290</v>
      </c>
      <c r="B292" s="233">
        <v>45734</v>
      </c>
      <c r="C292" s="234">
        <v>78.607607000000002</v>
      </c>
      <c r="D292" s="235">
        <v>139.10652927703509</v>
      </c>
      <c r="E292" s="234">
        <f t="shared" si="19"/>
        <v>78.607607000000002</v>
      </c>
      <c r="F292" s="239"/>
      <c r="G292" s="188" t="str">
        <f t="shared" si="20"/>
        <v/>
      </c>
      <c r="H292" s="236" t="str">
        <f t="shared" si="21"/>
        <v/>
      </c>
      <c r="I292" s="237"/>
    </row>
    <row r="293" spans="1:9">
      <c r="A293" s="232">
        <f t="shared" si="18"/>
        <v>291</v>
      </c>
      <c r="B293" s="233">
        <v>45735</v>
      </c>
      <c r="C293" s="234">
        <v>113.01438499999999</v>
      </c>
      <c r="D293" s="235">
        <v>139.10652927703509</v>
      </c>
      <c r="E293" s="234">
        <f t="shared" si="19"/>
        <v>113.01438499999999</v>
      </c>
      <c r="F293" s="239"/>
      <c r="G293" s="188" t="str">
        <f t="shared" si="20"/>
        <v/>
      </c>
      <c r="H293" s="236" t="str">
        <f t="shared" si="21"/>
        <v/>
      </c>
      <c r="I293" s="237"/>
    </row>
    <row r="294" spans="1:9">
      <c r="A294" s="232">
        <f t="shared" si="18"/>
        <v>292</v>
      </c>
      <c r="B294" s="233">
        <v>45736</v>
      </c>
      <c r="C294" s="234">
        <v>85.064345999999986</v>
      </c>
      <c r="D294" s="235">
        <v>139.10652927703509</v>
      </c>
      <c r="E294" s="234">
        <f t="shared" si="19"/>
        <v>85.064345999999986</v>
      </c>
      <c r="F294" s="239"/>
      <c r="G294" s="188" t="str">
        <f t="shared" si="20"/>
        <v/>
      </c>
      <c r="H294" s="236" t="str">
        <f t="shared" si="21"/>
        <v/>
      </c>
      <c r="I294" s="237"/>
    </row>
    <row r="295" spans="1:9">
      <c r="A295" s="232">
        <f t="shared" si="18"/>
        <v>293</v>
      </c>
      <c r="B295" s="233">
        <v>45737</v>
      </c>
      <c r="C295" s="234">
        <v>83.309352000000004</v>
      </c>
      <c r="D295" s="235">
        <v>139.10652927703509</v>
      </c>
      <c r="E295" s="234">
        <f t="shared" si="19"/>
        <v>83.309352000000004</v>
      </c>
      <c r="F295" s="239"/>
      <c r="G295" s="188" t="str">
        <f t="shared" si="20"/>
        <v/>
      </c>
      <c r="H295" s="236" t="str">
        <f t="shared" si="21"/>
        <v/>
      </c>
      <c r="I295" s="237"/>
    </row>
    <row r="296" spans="1:9">
      <c r="A296" s="232">
        <f t="shared" si="18"/>
        <v>294</v>
      </c>
      <c r="B296" s="233">
        <v>45738</v>
      </c>
      <c r="C296" s="234">
        <v>90.464739999999992</v>
      </c>
      <c r="D296" s="235">
        <v>139.10652927703509</v>
      </c>
      <c r="E296" s="234">
        <f t="shared" si="19"/>
        <v>90.464739999999992</v>
      </c>
      <c r="F296" s="239"/>
      <c r="G296" s="188" t="str">
        <f t="shared" si="20"/>
        <v/>
      </c>
      <c r="H296" s="236" t="str">
        <f t="shared" si="21"/>
        <v/>
      </c>
      <c r="I296" s="237"/>
    </row>
    <row r="297" spans="1:9">
      <c r="A297" s="232">
        <f t="shared" si="18"/>
        <v>295</v>
      </c>
      <c r="B297" s="233">
        <v>45739</v>
      </c>
      <c r="C297" s="234">
        <v>107.38733900000001</v>
      </c>
      <c r="D297" s="235">
        <v>139.10652927703509</v>
      </c>
      <c r="E297" s="234">
        <f t="shared" si="19"/>
        <v>107.38733900000001</v>
      </c>
      <c r="F297" s="239"/>
      <c r="G297" s="188" t="str">
        <f t="shared" si="20"/>
        <v/>
      </c>
      <c r="H297" s="236" t="str">
        <f t="shared" si="21"/>
        <v/>
      </c>
      <c r="I297" s="237"/>
    </row>
    <row r="298" spans="1:9">
      <c r="A298" s="232">
        <f t="shared" si="18"/>
        <v>296</v>
      </c>
      <c r="B298" s="233">
        <v>45740</v>
      </c>
      <c r="C298" s="234">
        <v>147.560711</v>
      </c>
      <c r="D298" s="235">
        <v>139.10652927703509</v>
      </c>
      <c r="E298" s="234">
        <f t="shared" si="19"/>
        <v>139.10652927703509</v>
      </c>
      <c r="F298" s="239"/>
      <c r="G298" s="188" t="str">
        <f t="shared" si="20"/>
        <v/>
      </c>
      <c r="H298" s="236" t="str">
        <f t="shared" si="21"/>
        <v/>
      </c>
      <c r="I298" s="237"/>
    </row>
    <row r="299" spans="1:9">
      <c r="A299" s="232">
        <f t="shared" si="18"/>
        <v>297</v>
      </c>
      <c r="B299" s="233">
        <v>45741</v>
      </c>
      <c r="C299" s="234">
        <v>139.02426</v>
      </c>
      <c r="D299" s="235">
        <v>139.10652927703509</v>
      </c>
      <c r="E299" s="234">
        <f t="shared" si="19"/>
        <v>139.02426</v>
      </c>
      <c r="F299" s="239"/>
      <c r="G299" s="188" t="str">
        <f t="shared" si="20"/>
        <v/>
      </c>
      <c r="H299" s="236" t="str">
        <f t="shared" si="21"/>
        <v/>
      </c>
      <c r="I299" s="237"/>
    </row>
    <row r="300" spans="1:9">
      <c r="A300" s="232">
        <f t="shared" si="18"/>
        <v>298</v>
      </c>
      <c r="B300" s="233">
        <v>45742</v>
      </c>
      <c r="C300" s="234">
        <v>147.69482399999998</v>
      </c>
      <c r="D300" s="235">
        <v>139.10652927703509</v>
      </c>
      <c r="E300" s="234">
        <f t="shared" si="19"/>
        <v>139.10652927703509</v>
      </c>
      <c r="F300" s="239"/>
      <c r="G300" s="188" t="str">
        <f t="shared" si="20"/>
        <v/>
      </c>
      <c r="H300" s="236" t="str">
        <f t="shared" si="21"/>
        <v/>
      </c>
      <c r="I300" s="237"/>
    </row>
    <row r="301" spans="1:9">
      <c r="A301" s="232">
        <f t="shared" si="18"/>
        <v>299</v>
      </c>
      <c r="B301" s="233">
        <v>45743</v>
      </c>
      <c r="C301" s="234">
        <v>147.946696</v>
      </c>
      <c r="D301" s="235">
        <v>139.10652927703509</v>
      </c>
      <c r="E301" s="234">
        <f t="shared" si="19"/>
        <v>139.10652927703509</v>
      </c>
      <c r="F301" s="239"/>
      <c r="G301" s="188" t="str">
        <f t="shared" si="20"/>
        <v/>
      </c>
      <c r="H301" s="236" t="str">
        <f t="shared" si="21"/>
        <v/>
      </c>
      <c r="I301" s="237"/>
    </row>
    <row r="302" spans="1:9">
      <c r="A302" s="232">
        <f t="shared" si="18"/>
        <v>300</v>
      </c>
      <c r="B302" s="233">
        <v>45744</v>
      </c>
      <c r="C302" s="234">
        <v>139.45735199999999</v>
      </c>
      <c r="D302" s="235">
        <v>139.10652927703509</v>
      </c>
      <c r="E302" s="234">
        <f t="shared" si="19"/>
        <v>139.10652927703509</v>
      </c>
      <c r="F302" s="239"/>
      <c r="G302" s="188" t="str">
        <f t="shared" si="20"/>
        <v/>
      </c>
      <c r="H302" s="236" t="str">
        <f t="shared" si="21"/>
        <v/>
      </c>
      <c r="I302" s="237"/>
    </row>
    <row r="303" spans="1:9">
      <c r="A303" s="232">
        <f t="shared" si="18"/>
        <v>301</v>
      </c>
      <c r="B303" s="233">
        <v>45745</v>
      </c>
      <c r="C303" s="234">
        <v>133.89215799999999</v>
      </c>
      <c r="D303" s="235">
        <v>139.10652927703509</v>
      </c>
      <c r="E303" s="234">
        <f t="shared" si="19"/>
        <v>133.89215799999999</v>
      </c>
      <c r="F303" s="239"/>
      <c r="G303" s="188" t="str">
        <f t="shared" si="20"/>
        <v/>
      </c>
      <c r="H303" s="236" t="str">
        <f t="shared" si="21"/>
        <v/>
      </c>
      <c r="I303" s="237"/>
    </row>
    <row r="304" spans="1:9">
      <c r="A304" s="232">
        <f t="shared" si="18"/>
        <v>302</v>
      </c>
      <c r="B304" s="233">
        <v>45746</v>
      </c>
      <c r="C304" s="234">
        <v>123.232653</v>
      </c>
      <c r="D304" s="235">
        <v>139.10652927703509</v>
      </c>
      <c r="E304" s="234">
        <f t="shared" si="19"/>
        <v>123.232653</v>
      </c>
      <c r="F304" s="239"/>
      <c r="G304" s="188" t="str">
        <f t="shared" si="20"/>
        <v/>
      </c>
      <c r="H304" s="236" t="str">
        <f t="shared" si="21"/>
        <v/>
      </c>
      <c r="I304" s="237"/>
    </row>
    <row r="305" spans="1:9">
      <c r="A305" s="232">
        <f t="shared" si="18"/>
        <v>303</v>
      </c>
      <c r="B305" s="233">
        <v>45747</v>
      </c>
      <c r="C305" s="234">
        <v>151.916087</v>
      </c>
      <c r="D305" s="235">
        <v>139.10652927703509</v>
      </c>
      <c r="E305" s="234">
        <f t="shared" si="19"/>
        <v>139.10652927703509</v>
      </c>
      <c r="F305" s="239"/>
      <c r="G305" s="188" t="str">
        <f t="shared" si="20"/>
        <v/>
      </c>
      <c r="H305" s="236" t="str">
        <f t="shared" si="21"/>
        <v/>
      </c>
      <c r="I305" s="237"/>
    </row>
    <row r="306" spans="1:9">
      <c r="A306" s="232">
        <f t="shared" si="18"/>
        <v>304</v>
      </c>
      <c r="B306" s="233">
        <v>45748</v>
      </c>
      <c r="C306" s="234">
        <v>140.031375</v>
      </c>
      <c r="D306" s="235">
        <v>161.25410292974746</v>
      </c>
      <c r="E306" s="234">
        <f t="shared" si="19"/>
        <v>140.031375</v>
      </c>
      <c r="F306" s="239"/>
      <c r="G306" s="188" t="str">
        <f t="shared" si="20"/>
        <v/>
      </c>
      <c r="H306" s="236" t="str">
        <f t="shared" si="21"/>
        <v/>
      </c>
      <c r="I306" s="237"/>
    </row>
    <row r="307" spans="1:9">
      <c r="A307" s="232">
        <f t="shared" si="18"/>
        <v>305</v>
      </c>
      <c r="B307" s="233">
        <v>45749</v>
      </c>
      <c r="C307" s="234">
        <v>106.77836300000001</v>
      </c>
      <c r="D307" s="235">
        <v>161.25410292974746</v>
      </c>
      <c r="E307" s="234">
        <f t="shared" si="19"/>
        <v>106.77836300000001</v>
      </c>
      <c r="F307" s="239"/>
      <c r="G307" s="188" t="str">
        <f t="shared" si="20"/>
        <v/>
      </c>
      <c r="H307" s="236" t="str">
        <f t="shared" si="21"/>
        <v/>
      </c>
      <c r="I307" s="237"/>
    </row>
    <row r="308" spans="1:9">
      <c r="A308" s="232">
        <f t="shared" si="18"/>
        <v>306</v>
      </c>
      <c r="B308" s="233">
        <v>45750</v>
      </c>
      <c r="C308" s="234">
        <v>79.643226999999996</v>
      </c>
      <c r="D308" s="235">
        <v>161.25410292974746</v>
      </c>
      <c r="E308" s="234">
        <f t="shared" si="19"/>
        <v>79.643226999999996</v>
      </c>
      <c r="F308" s="237"/>
      <c r="G308" s="188" t="str">
        <f t="shared" si="20"/>
        <v/>
      </c>
      <c r="H308" s="236" t="str">
        <f t="shared" si="21"/>
        <v/>
      </c>
      <c r="I308" s="237"/>
    </row>
    <row r="309" spans="1:9">
      <c r="A309" s="232">
        <f t="shared" si="18"/>
        <v>307</v>
      </c>
      <c r="B309" s="233">
        <v>45751</v>
      </c>
      <c r="C309" s="234">
        <v>103.53371000000001</v>
      </c>
      <c r="D309" s="235">
        <v>161.25410292974746</v>
      </c>
      <c r="E309" s="234">
        <f t="shared" si="19"/>
        <v>103.53371000000001</v>
      </c>
      <c r="F309" s="239"/>
      <c r="G309" s="188" t="str">
        <f t="shared" si="20"/>
        <v/>
      </c>
      <c r="H309" s="236" t="str">
        <f t="shared" si="21"/>
        <v/>
      </c>
      <c r="I309" s="237"/>
    </row>
    <row r="310" spans="1:9">
      <c r="A310" s="232">
        <f t="shared" si="18"/>
        <v>308</v>
      </c>
      <c r="B310" s="233">
        <v>45752</v>
      </c>
      <c r="C310" s="234">
        <v>126.52794400000001</v>
      </c>
      <c r="D310" s="235">
        <v>161.25410292974746</v>
      </c>
      <c r="E310" s="234">
        <f t="shared" si="19"/>
        <v>126.52794400000001</v>
      </c>
      <c r="F310" s="239"/>
      <c r="G310" s="188" t="str">
        <f t="shared" si="20"/>
        <v/>
      </c>
      <c r="H310" s="236" t="str">
        <f t="shared" si="21"/>
        <v/>
      </c>
      <c r="I310" s="237"/>
    </row>
    <row r="311" spans="1:9">
      <c r="A311" s="232">
        <f t="shared" si="18"/>
        <v>309</v>
      </c>
      <c r="B311" s="233">
        <v>45753</v>
      </c>
      <c r="C311" s="234">
        <v>118.51524499999999</v>
      </c>
      <c r="D311" s="235">
        <v>161.25410292974746</v>
      </c>
      <c r="E311" s="234">
        <f t="shared" si="19"/>
        <v>118.51524499999999</v>
      </c>
      <c r="F311" s="239"/>
      <c r="G311" s="188" t="str">
        <f t="shared" si="20"/>
        <v/>
      </c>
      <c r="H311" s="236" t="str">
        <f t="shared" si="21"/>
        <v/>
      </c>
      <c r="I311" s="237"/>
    </row>
    <row r="312" spans="1:9">
      <c r="A312" s="232">
        <f t="shared" si="18"/>
        <v>310</v>
      </c>
      <c r="B312" s="233">
        <v>45754</v>
      </c>
      <c r="C312" s="234">
        <v>181.381452</v>
      </c>
      <c r="D312" s="235">
        <v>161.25410292974746</v>
      </c>
      <c r="E312" s="234">
        <f t="shared" si="19"/>
        <v>161.25410292974746</v>
      </c>
      <c r="F312" s="239"/>
      <c r="G312" s="188" t="str">
        <f t="shared" si="20"/>
        <v/>
      </c>
      <c r="H312" s="236" t="str">
        <f t="shared" si="21"/>
        <v/>
      </c>
      <c r="I312" s="237"/>
    </row>
    <row r="313" spans="1:9">
      <c r="A313" s="232">
        <f t="shared" si="18"/>
        <v>311</v>
      </c>
      <c r="B313" s="233">
        <v>45755</v>
      </c>
      <c r="C313" s="234">
        <v>165.84166500000001</v>
      </c>
      <c r="D313" s="235">
        <v>161.25410292974746</v>
      </c>
      <c r="E313" s="234">
        <f t="shared" si="19"/>
        <v>161.25410292974746</v>
      </c>
      <c r="F313" s="239"/>
      <c r="G313" s="188" t="str">
        <f t="shared" si="20"/>
        <v/>
      </c>
      <c r="H313" s="236" t="str">
        <f t="shared" si="21"/>
        <v/>
      </c>
      <c r="I313" s="237"/>
    </row>
    <row r="314" spans="1:9">
      <c r="A314" s="232">
        <f t="shared" si="18"/>
        <v>312</v>
      </c>
      <c r="B314" s="233">
        <v>45756</v>
      </c>
      <c r="C314" s="234">
        <v>169.94445999999999</v>
      </c>
      <c r="D314" s="235">
        <v>161.25410292974746</v>
      </c>
      <c r="E314" s="234">
        <f t="shared" si="19"/>
        <v>161.25410292974746</v>
      </c>
      <c r="F314" s="239"/>
      <c r="G314" s="188" t="str">
        <f t="shared" si="20"/>
        <v/>
      </c>
      <c r="H314" s="236" t="str">
        <f t="shared" si="21"/>
        <v/>
      </c>
      <c r="I314" s="237"/>
    </row>
    <row r="315" spans="1:9">
      <c r="A315" s="232">
        <f t="shared" si="18"/>
        <v>313</v>
      </c>
      <c r="B315" s="233">
        <v>45757</v>
      </c>
      <c r="C315" s="234">
        <v>138.443555</v>
      </c>
      <c r="D315" s="235">
        <v>161.25410292974746</v>
      </c>
      <c r="E315" s="234">
        <f t="shared" si="19"/>
        <v>138.443555</v>
      </c>
      <c r="F315" s="239"/>
      <c r="G315" s="188" t="str">
        <f t="shared" si="20"/>
        <v/>
      </c>
      <c r="H315" s="236" t="str">
        <f t="shared" si="21"/>
        <v/>
      </c>
      <c r="I315" s="237"/>
    </row>
    <row r="316" spans="1:9">
      <c r="A316" s="232">
        <f t="shared" si="18"/>
        <v>314</v>
      </c>
      <c r="B316" s="233">
        <v>45758</v>
      </c>
      <c r="C316" s="234">
        <v>94.643987999999993</v>
      </c>
      <c r="D316" s="235">
        <v>161.25410292974746</v>
      </c>
      <c r="E316" s="234">
        <f t="shared" si="19"/>
        <v>94.643987999999993</v>
      </c>
      <c r="F316" s="239"/>
      <c r="G316" s="188" t="str">
        <f t="shared" si="20"/>
        <v/>
      </c>
      <c r="H316" s="236" t="str">
        <f t="shared" si="21"/>
        <v/>
      </c>
      <c r="I316" s="237"/>
    </row>
    <row r="317" spans="1:9">
      <c r="A317" s="232">
        <f t="shared" si="18"/>
        <v>315</v>
      </c>
      <c r="B317" s="233">
        <v>45759</v>
      </c>
      <c r="C317" s="234">
        <v>89.034120999999999</v>
      </c>
      <c r="D317" s="235">
        <v>161.25410292974746</v>
      </c>
      <c r="E317" s="234">
        <f t="shared" si="19"/>
        <v>89.034120999999999</v>
      </c>
      <c r="F317" s="239"/>
      <c r="G317" s="188" t="str">
        <f t="shared" si="20"/>
        <v/>
      </c>
      <c r="H317" s="236" t="str">
        <f t="shared" si="21"/>
        <v/>
      </c>
      <c r="I317" s="237"/>
    </row>
    <row r="318" spans="1:9">
      <c r="A318" s="232">
        <f t="shared" si="18"/>
        <v>316</v>
      </c>
      <c r="B318" s="233">
        <v>45760</v>
      </c>
      <c r="C318" s="234">
        <v>124.79208100000001</v>
      </c>
      <c r="D318" s="235">
        <v>161.25410292974746</v>
      </c>
      <c r="E318" s="234">
        <f t="shared" si="19"/>
        <v>124.79208100000001</v>
      </c>
      <c r="F318" s="239"/>
      <c r="G318" s="188" t="str">
        <f t="shared" si="20"/>
        <v/>
      </c>
      <c r="H318" s="236" t="str">
        <f t="shared" si="21"/>
        <v/>
      </c>
      <c r="I318" s="237"/>
    </row>
    <row r="319" spans="1:9">
      <c r="A319" s="232">
        <f t="shared" si="18"/>
        <v>317</v>
      </c>
      <c r="B319" s="233">
        <v>45761</v>
      </c>
      <c r="C319" s="234">
        <v>111.522554</v>
      </c>
      <c r="D319" s="235">
        <v>161.25410292974746</v>
      </c>
      <c r="E319" s="234">
        <f t="shared" si="19"/>
        <v>111.522554</v>
      </c>
      <c r="F319" s="239"/>
      <c r="G319" s="188" t="str">
        <f t="shared" si="20"/>
        <v/>
      </c>
      <c r="H319" s="236" t="str">
        <f t="shared" si="21"/>
        <v/>
      </c>
      <c r="I319" s="237"/>
    </row>
    <row r="320" spans="1:9">
      <c r="A320" s="232">
        <f t="shared" si="18"/>
        <v>318</v>
      </c>
      <c r="B320" s="233">
        <v>45762</v>
      </c>
      <c r="C320" s="234">
        <v>138.24814600000002</v>
      </c>
      <c r="D320" s="235">
        <v>161.25410292974746</v>
      </c>
      <c r="E320" s="234">
        <f t="shared" si="19"/>
        <v>138.24814600000002</v>
      </c>
      <c r="F320" s="239"/>
      <c r="G320" s="188" t="str">
        <f t="shared" si="20"/>
        <v>A</v>
      </c>
      <c r="H320" s="236" t="str">
        <f t="shared" si="21"/>
        <v>161,3</v>
      </c>
      <c r="I320" s="237"/>
    </row>
    <row r="321" spans="1:9">
      <c r="A321" s="232">
        <f t="shared" si="18"/>
        <v>319</v>
      </c>
      <c r="B321" s="233">
        <v>45763</v>
      </c>
      <c r="C321" s="234">
        <v>149.19416000000001</v>
      </c>
      <c r="D321" s="235">
        <v>161.25410292974746</v>
      </c>
      <c r="E321" s="234">
        <f t="shared" si="19"/>
        <v>149.19416000000001</v>
      </c>
      <c r="F321" s="239"/>
      <c r="G321" s="188" t="str">
        <f t="shared" si="20"/>
        <v/>
      </c>
      <c r="H321" s="236" t="str">
        <f t="shared" si="21"/>
        <v/>
      </c>
      <c r="I321" s="237"/>
    </row>
    <row r="322" spans="1:9">
      <c r="A322" s="232">
        <f t="shared" si="18"/>
        <v>320</v>
      </c>
      <c r="B322" s="233">
        <v>45764</v>
      </c>
      <c r="C322" s="234">
        <v>153.746441</v>
      </c>
      <c r="D322" s="235">
        <v>161.25410292974746</v>
      </c>
      <c r="E322" s="234">
        <f t="shared" si="19"/>
        <v>153.746441</v>
      </c>
      <c r="F322" s="239"/>
      <c r="G322" s="188" t="str">
        <f t="shared" si="20"/>
        <v/>
      </c>
      <c r="H322" s="236" t="str">
        <f t="shared" si="21"/>
        <v/>
      </c>
      <c r="I322" s="237"/>
    </row>
    <row r="323" spans="1:9">
      <c r="A323" s="232">
        <f t="shared" si="18"/>
        <v>321</v>
      </c>
      <c r="B323" s="233">
        <v>45765</v>
      </c>
      <c r="C323" s="234">
        <v>114.33897899999999</v>
      </c>
      <c r="D323" s="235">
        <v>161.25410292974746</v>
      </c>
      <c r="E323" s="234">
        <f t="shared" si="19"/>
        <v>114.33897899999999</v>
      </c>
      <c r="F323" s="239"/>
      <c r="G323" s="188" t="str">
        <f t="shared" si="20"/>
        <v/>
      </c>
      <c r="H323" s="236" t="str">
        <f t="shared" si="21"/>
        <v/>
      </c>
      <c r="I323" s="237"/>
    </row>
    <row r="324" spans="1:9">
      <c r="A324" s="232">
        <f t="shared" ref="A324:A387" si="22">+A323+1</f>
        <v>322</v>
      </c>
      <c r="B324" s="233">
        <v>45766</v>
      </c>
      <c r="C324" s="234">
        <v>112.476477</v>
      </c>
      <c r="D324" s="235">
        <v>161.25410292974746</v>
      </c>
      <c r="E324" s="234">
        <f t="shared" ref="E324:E387" si="23">IF(C324&gt;D324,D324,C324)</f>
        <v>112.476477</v>
      </c>
      <c r="F324" s="239"/>
      <c r="G324" s="188" t="str">
        <f t="shared" ref="G324:G387" si="24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s="236" t="str">
        <f t="shared" ref="H324:H387" si="25">IF(DAY($B324)=15,TEXT(D324,"#,0"),"")</f>
        <v/>
      </c>
      <c r="I324" s="237"/>
    </row>
    <row r="325" spans="1:9">
      <c r="A325" s="232">
        <f t="shared" si="22"/>
        <v>323</v>
      </c>
      <c r="B325" s="233">
        <v>45767</v>
      </c>
      <c r="C325" s="234">
        <v>117.89612200000001</v>
      </c>
      <c r="D325" s="235">
        <v>161.25410292974746</v>
      </c>
      <c r="E325" s="234">
        <f t="shared" si="23"/>
        <v>117.89612200000001</v>
      </c>
      <c r="F325" s="239"/>
      <c r="G325" s="188" t="str">
        <f t="shared" si="24"/>
        <v/>
      </c>
      <c r="H325" s="236" t="str">
        <f t="shared" si="25"/>
        <v/>
      </c>
      <c r="I325" s="237"/>
    </row>
    <row r="326" spans="1:9">
      <c r="A326" s="232">
        <f t="shared" si="22"/>
        <v>324</v>
      </c>
      <c r="B326" s="233">
        <v>45768</v>
      </c>
      <c r="C326" s="234">
        <v>173.946887</v>
      </c>
      <c r="D326" s="235">
        <v>161.25410292974746</v>
      </c>
      <c r="E326" s="234">
        <f t="shared" si="23"/>
        <v>161.25410292974746</v>
      </c>
      <c r="F326" s="239"/>
      <c r="G326" s="188" t="str">
        <f t="shared" si="24"/>
        <v/>
      </c>
      <c r="H326" s="236" t="str">
        <f t="shared" si="25"/>
        <v/>
      </c>
      <c r="I326" s="237"/>
    </row>
    <row r="327" spans="1:9">
      <c r="A327" s="232">
        <f t="shared" si="22"/>
        <v>325</v>
      </c>
      <c r="B327" s="233">
        <v>45769</v>
      </c>
      <c r="C327" s="234">
        <v>164.89289099999999</v>
      </c>
      <c r="D327" s="235">
        <v>161.25410292974746</v>
      </c>
      <c r="E327" s="234">
        <f t="shared" si="23"/>
        <v>161.25410292974746</v>
      </c>
      <c r="F327" s="239"/>
      <c r="G327" s="188" t="str">
        <f t="shared" si="24"/>
        <v/>
      </c>
      <c r="H327" s="236" t="str">
        <f t="shared" si="25"/>
        <v/>
      </c>
      <c r="I327" s="237"/>
    </row>
    <row r="328" spans="1:9">
      <c r="A328" s="232">
        <f t="shared" si="22"/>
        <v>326</v>
      </c>
      <c r="B328" s="233">
        <v>45770</v>
      </c>
      <c r="C328" s="234">
        <v>207.88761799999997</v>
      </c>
      <c r="D328" s="235">
        <v>161.25410292974746</v>
      </c>
      <c r="E328" s="234">
        <f t="shared" si="23"/>
        <v>161.25410292974746</v>
      </c>
      <c r="F328" s="239"/>
      <c r="G328" s="188" t="str">
        <f t="shared" si="24"/>
        <v/>
      </c>
      <c r="H328" s="236" t="str">
        <f t="shared" si="25"/>
        <v/>
      </c>
      <c r="I328" s="237"/>
    </row>
    <row r="329" spans="1:9">
      <c r="A329" s="232">
        <f t="shared" si="22"/>
        <v>327</v>
      </c>
      <c r="B329" s="233">
        <v>45771</v>
      </c>
      <c r="C329" s="234">
        <v>198.83125499999997</v>
      </c>
      <c r="D329" s="235">
        <v>161.25410292974746</v>
      </c>
      <c r="E329" s="234">
        <f t="shared" si="23"/>
        <v>161.25410292974746</v>
      </c>
      <c r="F329" s="239"/>
      <c r="G329" s="188" t="str">
        <f t="shared" si="24"/>
        <v/>
      </c>
      <c r="H329" s="236" t="str">
        <f t="shared" si="25"/>
        <v/>
      </c>
      <c r="I329" s="237"/>
    </row>
    <row r="330" spans="1:9">
      <c r="A330" s="232">
        <f t="shared" si="22"/>
        <v>328</v>
      </c>
      <c r="B330" s="233">
        <v>45772</v>
      </c>
      <c r="C330" s="234">
        <v>188.343198</v>
      </c>
      <c r="D330" s="235">
        <v>161.25410292974746</v>
      </c>
      <c r="E330" s="234">
        <f t="shared" si="23"/>
        <v>161.25410292974746</v>
      </c>
      <c r="F330" s="239"/>
      <c r="G330" s="188" t="str">
        <f t="shared" si="24"/>
        <v/>
      </c>
      <c r="H330" s="236" t="str">
        <f t="shared" si="25"/>
        <v/>
      </c>
      <c r="I330" s="237"/>
    </row>
    <row r="331" spans="1:9">
      <c r="A331" s="232">
        <f t="shared" si="22"/>
        <v>329</v>
      </c>
      <c r="B331" s="233">
        <v>45773</v>
      </c>
      <c r="C331" s="234">
        <v>163.694422</v>
      </c>
      <c r="D331" s="235">
        <v>161.25410292974746</v>
      </c>
      <c r="E331" s="234">
        <f t="shared" si="23"/>
        <v>161.25410292974746</v>
      </c>
      <c r="F331" s="239"/>
      <c r="G331" s="188" t="str">
        <f t="shared" si="24"/>
        <v/>
      </c>
      <c r="H331" s="236" t="str">
        <f t="shared" si="25"/>
        <v/>
      </c>
      <c r="I331" s="237"/>
    </row>
    <row r="332" spans="1:9">
      <c r="A332" s="232">
        <f t="shared" si="22"/>
        <v>330</v>
      </c>
      <c r="B332" s="233">
        <v>45774</v>
      </c>
      <c r="C332" s="234">
        <v>132.01218299999999</v>
      </c>
      <c r="D332" s="235">
        <v>161.25410292974746</v>
      </c>
      <c r="E332" s="234">
        <f t="shared" si="23"/>
        <v>132.01218299999999</v>
      </c>
      <c r="F332" s="239"/>
      <c r="G332" s="188" t="str">
        <f t="shared" si="24"/>
        <v/>
      </c>
      <c r="H332" s="236" t="str">
        <f t="shared" si="25"/>
        <v/>
      </c>
      <c r="I332" s="237"/>
    </row>
    <row r="333" spans="1:9">
      <c r="A333" s="232">
        <f t="shared" si="22"/>
        <v>331</v>
      </c>
      <c r="B333" s="233">
        <v>45775</v>
      </c>
      <c r="C333" s="234">
        <v>70.725413999999986</v>
      </c>
      <c r="D333" s="235">
        <v>161.25410292974746</v>
      </c>
      <c r="E333" s="234">
        <f t="shared" si="23"/>
        <v>70.725413999999986</v>
      </c>
      <c r="F333" s="239"/>
      <c r="G333" s="188" t="str">
        <f t="shared" si="24"/>
        <v/>
      </c>
      <c r="H333" s="236" t="str">
        <f t="shared" si="25"/>
        <v/>
      </c>
      <c r="I333" s="237"/>
    </row>
    <row r="334" spans="1:9">
      <c r="A334" s="232">
        <f t="shared" si="22"/>
        <v>332</v>
      </c>
      <c r="B334" s="233">
        <v>45776</v>
      </c>
      <c r="C334" s="234">
        <v>89.865460999999996</v>
      </c>
      <c r="D334" s="235">
        <v>161.25410292974746</v>
      </c>
      <c r="E334" s="234">
        <f t="shared" si="23"/>
        <v>89.865460999999996</v>
      </c>
      <c r="F334" s="239"/>
      <c r="G334" s="188" t="str">
        <f t="shared" si="24"/>
        <v/>
      </c>
      <c r="H334" s="236" t="str">
        <f t="shared" si="25"/>
        <v/>
      </c>
      <c r="I334" s="237"/>
    </row>
    <row r="335" spans="1:9">
      <c r="A335" s="232">
        <f t="shared" si="22"/>
        <v>333</v>
      </c>
      <c r="B335" s="233">
        <v>45777</v>
      </c>
      <c r="C335" s="234">
        <v>104.69134600000001</v>
      </c>
      <c r="D335" s="235">
        <v>161.25410292974746</v>
      </c>
      <c r="E335" s="234">
        <f t="shared" si="23"/>
        <v>104.69134600000001</v>
      </c>
      <c r="F335" s="239"/>
      <c r="G335" s="188" t="str">
        <f t="shared" si="24"/>
        <v/>
      </c>
      <c r="H335" s="236" t="str">
        <f t="shared" si="25"/>
        <v/>
      </c>
      <c r="I335" s="237"/>
    </row>
    <row r="336" spans="1:9">
      <c r="A336" s="232">
        <f t="shared" si="22"/>
        <v>334</v>
      </c>
      <c r="B336" s="233">
        <v>45778</v>
      </c>
      <c r="C336" s="234">
        <v>116.21073200000001</v>
      </c>
      <c r="D336" s="235">
        <v>188.53500601430525</v>
      </c>
      <c r="E336" s="234">
        <f t="shared" si="23"/>
        <v>116.21073200000001</v>
      </c>
      <c r="F336" s="237"/>
      <c r="G336" s="188" t="str">
        <f t="shared" si="24"/>
        <v/>
      </c>
      <c r="H336" s="236" t="str">
        <f t="shared" si="25"/>
        <v/>
      </c>
      <c r="I336" s="237"/>
    </row>
    <row r="337" spans="1:9">
      <c r="A337" s="232">
        <f t="shared" si="22"/>
        <v>335</v>
      </c>
      <c r="B337" s="233">
        <v>45779</v>
      </c>
      <c r="C337" s="234">
        <v>101.071519</v>
      </c>
      <c r="D337" s="235">
        <v>188.53500601430525</v>
      </c>
      <c r="E337" s="234">
        <f t="shared" si="23"/>
        <v>101.071519</v>
      </c>
      <c r="F337" s="237"/>
      <c r="G337" s="188" t="str">
        <f t="shared" si="24"/>
        <v/>
      </c>
      <c r="H337" s="236" t="str">
        <f t="shared" si="25"/>
        <v/>
      </c>
      <c r="I337" s="237"/>
    </row>
    <row r="338" spans="1:9">
      <c r="A338" s="232">
        <f t="shared" si="22"/>
        <v>336</v>
      </c>
      <c r="B338" s="233">
        <v>45780</v>
      </c>
      <c r="C338" s="234">
        <v>135.347138</v>
      </c>
      <c r="D338" s="235">
        <v>188.53500601430525</v>
      </c>
      <c r="E338" s="234">
        <f t="shared" si="23"/>
        <v>135.347138</v>
      </c>
      <c r="F338" s="239"/>
      <c r="G338" s="188" t="str">
        <f t="shared" si="24"/>
        <v/>
      </c>
      <c r="H338" s="236" t="str">
        <f t="shared" si="25"/>
        <v/>
      </c>
      <c r="I338" s="237"/>
    </row>
    <row r="339" spans="1:9">
      <c r="A339" s="232">
        <f t="shared" si="22"/>
        <v>337</v>
      </c>
      <c r="B339" s="233">
        <v>45781</v>
      </c>
      <c r="C339" s="234">
        <v>112.69158</v>
      </c>
      <c r="D339" s="235">
        <v>188.53500601430525</v>
      </c>
      <c r="E339" s="234">
        <f t="shared" si="23"/>
        <v>112.69158</v>
      </c>
      <c r="F339" s="239"/>
      <c r="G339" s="188" t="str">
        <f t="shared" si="24"/>
        <v/>
      </c>
      <c r="H339" s="236" t="str">
        <f t="shared" si="25"/>
        <v/>
      </c>
      <c r="I339" s="237"/>
    </row>
    <row r="340" spans="1:9">
      <c r="A340" s="232">
        <f t="shared" si="22"/>
        <v>338</v>
      </c>
      <c r="B340" s="233">
        <v>45782</v>
      </c>
      <c r="C340" s="234">
        <v>120.254164</v>
      </c>
      <c r="D340" s="235">
        <v>188.53500601430525</v>
      </c>
      <c r="E340" s="234">
        <f t="shared" si="23"/>
        <v>120.254164</v>
      </c>
      <c r="F340" s="239"/>
      <c r="G340" s="188" t="str">
        <f t="shared" si="24"/>
        <v/>
      </c>
      <c r="H340" s="236" t="str">
        <f t="shared" si="25"/>
        <v/>
      </c>
      <c r="I340" s="237"/>
    </row>
    <row r="341" spans="1:9">
      <c r="A341" s="232">
        <f t="shared" si="22"/>
        <v>339</v>
      </c>
      <c r="B341" s="233">
        <v>45783</v>
      </c>
      <c r="C341" s="234">
        <v>134.96149600000001</v>
      </c>
      <c r="D341" s="235">
        <v>188.53500601430525</v>
      </c>
      <c r="E341" s="234">
        <f t="shared" si="23"/>
        <v>134.96149600000001</v>
      </c>
      <c r="F341" s="239"/>
      <c r="G341" s="188" t="str">
        <f t="shared" si="24"/>
        <v/>
      </c>
      <c r="H341" s="236" t="str">
        <f t="shared" si="25"/>
        <v/>
      </c>
      <c r="I341" s="237"/>
    </row>
    <row r="342" spans="1:9">
      <c r="A342" s="232">
        <f t="shared" si="22"/>
        <v>340</v>
      </c>
      <c r="B342" s="233">
        <v>45784</v>
      </c>
      <c r="C342" s="234">
        <v>166.02542</v>
      </c>
      <c r="D342" s="235">
        <v>188.53500601430525</v>
      </c>
      <c r="E342" s="234">
        <f t="shared" si="23"/>
        <v>166.02542</v>
      </c>
      <c r="F342" s="239"/>
      <c r="G342" s="188" t="str">
        <f t="shared" si="24"/>
        <v/>
      </c>
      <c r="H342" s="236" t="str">
        <f t="shared" si="25"/>
        <v/>
      </c>
      <c r="I342" s="237"/>
    </row>
    <row r="343" spans="1:9">
      <c r="A343" s="232">
        <f t="shared" si="22"/>
        <v>341</v>
      </c>
      <c r="B343" s="233">
        <v>45785</v>
      </c>
      <c r="C343" s="234">
        <v>129.28512700000002</v>
      </c>
      <c r="D343" s="235">
        <v>188.53500601430525</v>
      </c>
      <c r="E343" s="234">
        <f t="shared" si="23"/>
        <v>129.28512700000002</v>
      </c>
      <c r="F343" s="239"/>
      <c r="G343" s="188" t="str">
        <f t="shared" si="24"/>
        <v/>
      </c>
      <c r="H343" s="236" t="str">
        <f t="shared" si="25"/>
        <v/>
      </c>
      <c r="I343" s="237"/>
    </row>
    <row r="344" spans="1:9">
      <c r="A344" s="232">
        <f t="shared" si="22"/>
        <v>342</v>
      </c>
      <c r="B344" s="233">
        <v>45786</v>
      </c>
      <c r="C344" s="234">
        <v>147.17215899999999</v>
      </c>
      <c r="D344" s="235">
        <v>188.53500601430525</v>
      </c>
      <c r="E344" s="234">
        <f t="shared" si="23"/>
        <v>147.17215899999999</v>
      </c>
      <c r="F344" s="239"/>
      <c r="G344" s="188" t="str">
        <f t="shared" si="24"/>
        <v/>
      </c>
      <c r="H344" s="236" t="str">
        <f t="shared" si="25"/>
        <v/>
      </c>
      <c r="I344" s="237"/>
    </row>
    <row r="345" spans="1:9">
      <c r="A345" s="232">
        <f t="shared" si="22"/>
        <v>343</v>
      </c>
      <c r="B345" s="233">
        <v>45787</v>
      </c>
      <c r="C345" s="234">
        <v>112.27607300000001</v>
      </c>
      <c r="D345" s="235">
        <v>188.53500601430525</v>
      </c>
      <c r="E345" s="234">
        <f t="shared" si="23"/>
        <v>112.27607300000001</v>
      </c>
      <c r="F345" s="239"/>
      <c r="G345" s="188" t="str">
        <f t="shared" si="24"/>
        <v/>
      </c>
      <c r="H345" s="236" t="str">
        <f t="shared" si="25"/>
        <v/>
      </c>
      <c r="I345" s="237"/>
    </row>
    <row r="346" spans="1:9">
      <c r="A346" s="232">
        <f t="shared" si="22"/>
        <v>344</v>
      </c>
      <c r="B346" s="233">
        <v>45788</v>
      </c>
      <c r="C346" s="234">
        <v>115.928543</v>
      </c>
      <c r="D346" s="235">
        <v>188.53500601430525</v>
      </c>
      <c r="E346" s="234">
        <f t="shared" si="23"/>
        <v>115.928543</v>
      </c>
      <c r="F346" s="239"/>
      <c r="G346" s="188" t="str">
        <f t="shared" si="24"/>
        <v/>
      </c>
      <c r="H346" s="236" t="str">
        <f t="shared" si="25"/>
        <v/>
      </c>
      <c r="I346" s="237"/>
    </row>
    <row r="347" spans="1:9">
      <c r="A347" s="232">
        <f t="shared" si="22"/>
        <v>345</v>
      </c>
      <c r="B347" s="233">
        <v>45789</v>
      </c>
      <c r="C347" s="234">
        <v>162.74789999999999</v>
      </c>
      <c r="D347" s="235">
        <v>188.53500601430525</v>
      </c>
      <c r="E347" s="234">
        <f t="shared" si="23"/>
        <v>162.74789999999999</v>
      </c>
      <c r="F347" s="239"/>
      <c r="G347" s="188" t="str">
        <f t="shared" si="24"/>
        <v/>
      </c>
      <c r="H347" s="236" t="str">
        <f t="shared" si="25"/>
        <v/>
      </c>
      <c r="I347" s="237"/>
    </row>
    <row r="348" spans="1:9">
      <c r="A348" s="232">
        <f t="shared" si="22"/>
        <v>346</v>
      </c>
      <c r="B348" s="233">
        <v>45790</v>
      </c>
      <c r="C348" s="234">
        <v>152.26761300000001</v>
      </c>
      <c r="D348" s="235">
        <v>188.53500601430525</v>
      </c>
      <c r="E348" s="234">
        <f t="shared" si="23"/>
        <v>152.26761300000001</v>
      </c>
      <c r="F348" s="239"/>
      <c r="G348" s="188" t="str">
        <f t="shared" si="24"/>
        <v/>
      </c>
      <c r="H348" s="236" t="str">
        <f t="shared" si="25"/>
        <v/>
      </c>
      <c r="I348" s="237"/>
    </row>
    <row r="349" spans="1:9">
      <c r="A349" s="232">
        <f t="shared" si="22"/>
        <v>347</v>
      </c>
      <c r="B349" s="233">
        <v>45791</v>
      </c>
      <c r="C349" s="234">
        <v>158.779055</v>
      </c>
      <c r="D349" s="235">
        <v>188.53500601430525</v>
      </c>
      <c r="E349" s="234">
        <f t="shared" si="23"/>
        <v>158.779055</v>
      </c>
      <c r="F349" s="239"/>
      <c r="G349" s="188" t="str">
        <f t="shared" si="24"/>
        <v/>
      </c>
      <c r="H349" s="236" t="str">
        <f t="shared" si="25"/>
        <v/>
      </c>
      <c r="I349" s="237"/>
    </row>
    <row r="350" spans="1:9">
      <c r="A350" s="232">
        <f t="shared" si="22"/>
        <v>348</v>
      </c>
      <c r="B350" s="233">
        <v>45792</v>
      </c>
      <c r="C350" s="234">
        <v>140.09709899999999</v>
      </c>
      <c r="D350" s="235">
        <v>188.53500601430525</v>
      </c>
      <c r="E350" s="234">
        <f t="shared" si="23"/>
        <v>140.09709899999999</v>
      </c>
      <c r="F350" s="239"/>
      <c r="G350" s="188" t="str">
        <f t="shared" si="24"/>
        <v>M</v>
      </c>
      <c r="H350" s="236" t="str">
        <f t="shared" si="25"/>
        <v>188,5</v>
      </c>
      <c r="I350" s="237"/>
    </row>
    <row r="351" spans="1:9">
      <c r="A351" s="232">
        <f t="shared" si="22"/>
        <v>349</v>
      </c>
      <c r="B351" s="233">
        <v>45793</v>
      </c>
      <c r="C351" s="234">
        <v>159.700525</v>
      </c>
      <c r="D351" s="235">
        <v>188.53500601430525</v>
      </c>
      <c r="E351" s="234">
        <f t="shared" si="23"/>
        <v>159.700525</v>
      </c>
      <c r="F351" s="239"/>
      <c r="G351" s="188" t="str">
        <f t="shared" si="24"/>
        <v/>
      </c>
      <c r="H351" s="236" t="str">
        <f t="shared" si="25"/>
        <v/>
      </c>
      <c r="I351" s="237"/>
    </row>
    <row r="352" spans="1:9">
      <c r="A352" s="232">
        <f t="shared" si="22"/>
        <v>350</v>
      </c>
      <c r="B352" s="233">
        <v>45794</v>
      </c>
      <c r="C352" s="234">
        <v>156.33715700000002</v>
      </c>
      <c r="D352" s="235">
        <v>188.53500601430525</v>
      </c>
      <c r="E352" s="234">
        <f t="shared" si="23"/>
        <v>156.33715700000002</v>
      </c>
      <c r="F352" s="239"/>
      <c r="G352" s="188" t="str">
        <f t="shared" si="24"/>
        <v/>
      </c>
      <c r="H352" s="236" t="str">
        <f t="shared" si="25"/>
        <v/>
      </c>
      <c r="I352" s="237"/>
    </row>
    <row r="353" spans="1:9">
      <c r="A353" s="232">
        <f t="shared" si="22"/>
        <v>351</v>
      </c>
      <c r="B353" s="233">
        <v>45795</v>
      </c>
      <c r="C353" s="234">
        <v>144.53871799999999</v>
      </c>
      <c r="D353" s="235">
        <v>188.53500601430525</v>
      </c>
      <c r="E353" s="234">
        <f t="shared" si="23"/>
        <v>144.53871799999999</v>
      </c>
      <c r="F353" s="239"/>
      <c r="G353" s="188" t="str">
        <f t="shared" si="24"/>
        <v/>
      </c>
      <c r="H353" s="236" t="str">
        <f t="shared" si="25"/>
        <v/>
      </c>
      <c r="I353" s="237"/>
    </row>
    <row r="354" spans="1:9">
      <c r="A354" s="232">
        <f t="shared" si="22"/>
        <v>352</v>
      </c>
      <c r="B354" s="233">
        <v>45796</v>
      </c>
      <c r="C354" s="234">
        <v>164.27650400000002</v>
      </c>
      <c r="D354" s="235">
        <v>188.53500601430525</v>
      </c>
      <c r="E354" s="234">
        <f t="shared" si="23"/>
        <v>164.27650400000002</v>
      </c>
      <c r="F354" s="239"/>
      <c r="G354" s="188" t="str">
        <f t="shared" si="24"/>
        <v/>
      </c>
      <c r="H354" s="236" t="str">
        <f t="shared" si="25"/>
        <v/>
      </c>
      <c r="I354" s="237"/>
    </row>
    <row r="355" spans="1:9">
      <c r="A355" s="232">
        <f t="shared" si="22"/>
        <v>353</v>
      </c>
      <c r="B355" s="233">
        <v>45797</v>
      </c>
      <c r="C355" s="234">
        <v>176.20863</v>
      </c>
      <c r="D355" s="235">
        <v>188.53500601430525</v>
      </c>
      <c r="E355" s="234">
        <f t="shared" si="23"/>
        <v>176.20863</v>
      </c>
      <c r="F355" s="239"/>
      <c r="G355" s="188" t="str">
        <f t="shared" si="24"/>
        <v/>
      </c>
      <c r="H355" s="236" t="str">
        <f t="shared" si="25"/>
        <v/>
      </c>
      <c r="I355" s="237"/>
    </row>
    <row r="356" spans="1:9">
      <c r="A356" s="232">
        <f t="shared" si="22"/>
        <v>354</v>
      </c>
      <c r="B356" s="233">
        <v>45798</v>
      </c>
      <c r="C356" s="234">
        <v>196.98635099999998</v>
      </c>
      <c r="D356" s="235">
        <v>188.53500601430525</v>
      </c>
      <c r="E356" s="234">
        <f t="shared" si="23"/>
        <v>188.53500601430525</v>
      </c>
      <c r="F356" s="239"/>
      <c r="G356" s="188" t="str">
        <f t="shared" si="24"/>
        <v/>
      </c>
      <c r="H356" s="236" t="str">
        <f t="shared" si="25"/>
        <v/>
      </c>
      <c r="I356" s="237"/>
    </row>
    <row r="357" spans="1:9">
      <c r="A357" s="232">
        <f t="shared" si="22"/>
        <v>355</v>
      </c>
      <c r="B357" s="233">
        <v>45799</v>
      </c>
      <c r="C357" s="234">
        <v>173.254705</v>
      </c>
      <c r="D357" s="235">
        <v>188.53500601430525</v>
      </c>
      <c r="E357" s="234">
        <f t="shared" si="23"/>
        <v>173.254705</v>
      </c>
      <c r="F357" s="239"/>
      <c r="G357" s="188" t="str">
        <f t="shared" si="24"/>
        <v/>
      </c>
      <c r="H357" s="236" t="str">
        <f t="shared" si="25"/>
        <v/>
      </c>
      <c r="I357" s="237"/>
    </row>
    <row r="358" spans="1:9">
      <c r="A358" s="232">
        <f t="shared" si="22"/>
        <v>356</v>
      </c>
      <c r="B358" s="233">
        <v>45800</v>
      </c>
      <c r="C358" s="234">
        <v>175.05173099999999</v>
      </c>
      <c r="D358" s="235">
        <v>188.53500601430525</v>
      </c>
      <c r="E358" s="234">
        <f t="shared" si="23"/>
        <v>175.05173099999999</v>
      </c>
      <c r="F358" s="239"/>
      <c r="G358" s="188" t="str">
        <f t="shared" si="24"/>
        <v/>
      </c>
      <c r="H358" s="236" t="str">
        <f t="shared" si="25"/>
        <v/>
      </c>
      <c r="I358" s="237"/>
    </row>
    <row r="359" spans="1:9">
      <c r="A359" s="232">
        <f t="shared" si="22"/>
        <v>357</v>
      </c>
      <c r="B359" s="233">
        <v>45801</v>
      </c>
      <c r="C359" s="234">
        <v>168.45440900000003</v>
      </c>
      <c r="D359" s="235">
        <v>188.53500601430525</v>
      </c>
      <c r="E359" s="234">
        <f t="shared" si="23"/>
        <v>168.45440900000003</v>
      </c>
      <c r="F359" s="239"/>
      <c r="G359" s="188" t="str">
        <f t="shared" si="24"/>
        <v/>
      </c>
      <c r="H359" s="236" t="str">
        <f t="shared" si="25"/>
        <v/>
      </c>
      <c r="I359" s="237"/>
    </row>
    <row r="360" spans="1:9">
      <c r="A360" s="232">
        <f t="shared" si="22"/>
        <v>358</v>
      </c>
      <c r="B360" s="233">
        <v>45802</v>
      </c>
      <c r="C360" s="234">
        <v>153.430362</v>
      </c>
      <c r="D360" s="235">
        <v>188.53500601430525</v>
      </c>
      <c r="E360" s="234">
        <f t="shared" si="23"/>
        <v>153.430362</v>
      </c>
      <c r="F360" s="239"/>
      <c r="G360" s="188" t="str">
        <f t="shared" si="24"/>
        <v/>
      </c>
      <c r="H360" s="236" t="str">
        <f t="shared" si="25"/>
        <v/>
      </c>
      <c r="I360" s="237"/>
    </row>
    <row r="361" spans="1:9">
      <c r="A361" s="232">
        <f t="shared" si="22"/>
        <v>359</v>
      </c>
      <c r="B361" s="233">
        <v>45803</v>
      </c>
      <c r="C361" s="234">
        <v>211.74238500000001</v>
      </c>
      <c r="D361" s="235">
        <v>188.53500601430525</v>
      </c>
      <c r="E361" s="234">
        <f t="shared" si="23"/>
        <v>188.53500601430525</v>
      </c>
      <c r="F361" s="239"/>
      <c r="G361" s="188" t="str">
        <f t="shared" si="24"/>
        <v/>
      </c>
      <c r="H361" s="236" t="str">
        <f t="shared" si="25"/>
        <v/>
      </c>
      <c r="I361" s="237"/>
    </row>
    <row r="362" spans="1:9">
      <c r="A362" s="232">
        <f t="shared" si="22"/>
        <v>360</v>
      </c>
      <c r="B362" s="233">
        <v>45804</v>
      </c>
      <c r="C362" s="234">
        <v>209.22145900000001</v>
      </c>
      <c r="D362" s="235">
        <v>188.53500601430525</v>
      </c>
      <c r="E362" s="234">
        <f t="shared" si="23"/>
        <v>188.53500601430525</v>
      </c>
      <c r="F362" s="239"/>
      <c r="G362" s="188" t="str">
        <f t="shared" si="24"/>
        <v/>
      </c>
      <c r="H362" s="236" t="str">
        <f t="shared" si="25"/>
        <v/>
      </c>
      <c r="I362" s="237"/>
    </row>
    <row r="363" spans="1:9">
      <c r="A363" s="232">
        <f t="shared" si="22"/>
        <v>361</v>
      </c>
      <c r="B363" s="233">
        <v>45805</v>
      </c>
      <c r="C363" s="234">
        <v>203.704758</v>
      </c>
      <c r="D363" s="235">
        <v>188.53500601430525</v>
      </c>
      <c r="E363" s="234">
        <f t="shared" si="23"/>
        <v>188.53500601430525</v>
      </c>
      <c r="F363" s="239"/>
      <c r="G363" s="188" t="str">
        <f t="shared" si="24"/>
        <v/>
      </c>
      <c r="H363" s="236" t="str">
        <f t="shared" si="25"/>
        <v/>
      </c>
      <c r="I363" s="237"/>
    </row>
    <row r="364" spans="1:9">
      <c r="A364" s="232">
        <f t="shared" si="22"/>
        <v>362</v>
      </c>
      <c r="B364" s="233">
        <v>45806</v>
      </c>
      <c r="C364" s="234">
        <v>207.67781699999998</v>
      </c>
      <c r="D364" s="235">
        <v>188.53500601430525</v>
      </c>
      <c r="E364" s="234">
        <f t="shared" si="23"/>
        <v>188.53500601430525</v>
      </c>
      <c r="F364" s="239"/>
      <c r="G364" s="188" t="str">
        <f t="shared" si="24"/>
        <v/>
      </c>
      <c r="H364" s="236" t="str">
        <f t="shared" si="25"/>
        <v/>
      </c>
      <c r="I364" s="237"/>
    </row>
    <row r="365" spans="1:9">
      <c r="A365" s="232">
        <f t="shared" si="22"/>
        <v>363</v>
      </c>
      <c r="B365" s="233">
        <v>45807</v>
      </c>
      <c r="C365" s="234">
        <v>192.39495399999998</v>
      </c>
      <c r="D365" s="235">
        <v>188.53500601430525</v>
      </c>
      <c r="E365" s="234">
        <f t="shared" si="23"/>
        <v>188.53500601430525</v>
      </c>
      <c r="F365" s="239"/>
      <c r="G365" s="188" t="str">
        <f t="shared" si="24"/>
        <v/>
      </c>
      <c r="H365" s="236" t="str">
        <f t="shared" si="25"/>
        <v/>
      </c>
      <c r="I365" s="237"/>
    </row>
    <row r="366" spans="1:9">
      <c r="A366" s="232">
        <f t="shared" si="22"/>
        <v>364</v>
      </c>
      <c r="B366" s="233">
        <v>45808</v>
      </c>
      <c r="C366" s="234">
        <v>176.35852700000001</v>
      </c>
      <c r="D366" s="235">
        <v>188.53500601430525</v>
      </c>
      <c r="E366" s="234">
        <f t="shared" si="23"/>
        <v>176.35852700000001</v>
      </c>
      <c r="F366" s="239"/>
      <c r="G366" s="188" t="str">
        <f t="shared" si="24"/>
        <v/>
      </c>
      <c r="H366" s="236" t="str">
        <f t="shared" si="25"/>
        <v/>
      </c>
      <c r="I366" s="237"/>
    </row>
    <row r="367" spans="1:9">
      <c r="A367" s="232">
        <f t="shared" si="22"/>
        <v>365</v>
      </c>
      <c r="B367" s="233">
        <v>45809</v>
      </c>
      <c r="C367" s="234">
        <v>147.94033999999999</v>
      </c>
      <c r="D367" s="235">
        <v>193.62149049757886</v>
      </c>
      <c r="E367" s="234">
        <f t="shared" si="23"/>
        <v>147.94033999999999</v>
      </c>
      <c r="F367" s="237"/>
      <c r="G367" s="188" t="str">
        <f t="shared" si="24"/>
        <v/>
      </c>
      <c r="H367" s="236" t="str">
        <f t="shared" si="25"/>
        <v/>
      </c>
      <c r="I367" s="237"/>
    </row>
    <row r="368" spans="1:9">
      <c r="A368" s="232">
        <f t="shared" si="22"/>
        <v>366</v>
      </c>
      <c r="B368" s="233">
        <v>45810</v>
      </c>
      <c r="C368" s="234">
        <v>178.07417999999998</v>
      </c>
      <c r="D368" s="235">
        <v>193.62149049757886</v>
      </c>
      <c r="E368" s="234">
        <f t="shared" si="23"/>
        <v>178.07417999999998</v>
      </c>
      <c r="F368" s="237"/>
      <c r="G368" s="188" t="str">
        <f t="shared" si="24"/>
        <v/>
      </c>
      <c r="H368" s="236" t="str">
        <f t="shared" si="25"/>
        <v/>
      </c>
      <c r="I368" s="237"/>
    </row>
    <row r="369" spans="1:9">
      <c r="A369" s="232">
        <f t="shared" si="22"/>
        <v>367</v>
      </c>
      <c r="B369" s="233">
        <v>45811</v>
      </c>
      <c r="C369" s="234">
        <v>158.24366800000001</v>
      </c>
      <c r="D369" s="235">
        <v>193.62149049757886</v>
      </c>
      <c r="E369" s="234">
        <f t="shared" si="23"/>
        <v>158.24366800000001</v>
      </c>
      <c r="F369" s="239"/>
      <c r="G369" s="188" t="str">
        <f t="shared" si="24"/>
        <v/>
      </c>
      <c r="H369" s="236" t="str">
        <f t="shared" si="25"/>
        <v/>
      </c>
      <c r="I369" s="237"/>
    </row>
    <row r="370" spans="1:9">
      <c r="A370" s="232">
        <f t="shared" si="22"/>
        <v>368</v>
      </c>
      <c r="B370" s="233">
        <v>45812</v>
      </c>
      <c r="C370" s="234">
        <v>210.23818199999999</v>
      </c>
      <c r="D370" s="235">
        <v>193.62149049757886</v>
      </c>
      <c r="E370" s="234">
        <f t="shared" si="23"/>
        <v>193.62149049757886</v>
      </c>
      <c r="F370" s="239"/>
      <c r="G370" s="188" t="str">
        <f t="shared" si="24"/>
        <v/>
      </c>
      <c r="H370" s="236" t="str">
        <f t="shared" si="25"/>
        <v/>
      </c>
      <c r="I370" s="237"/>
    </row>
    <row r="371" spans="1:9">
      <c r="A371" s="232">
        <f t="shared" si="22"/>
        <v>369</v>
      </c>
      <c r="B371" s="233">
        <v>45813</v>
      </c>
      <c r="C371" s="234">
        <v>222.155779</v>
      </c>
      <c r="D371" s="235">
        <v>193.62149049757886</v>
      </c>
      <c r="E371" s="234">
        <f t="shared" si="23"/>
        <v>193.62149049757886</v>
      </c>
      <c r="F371" s="239"/>
      <c r="G371" s="188" t="str">
        <f t="shared" si="24"/>
        <v/>
      </c>
      <c r="H371" s="236" t="str">
        <f t="shared" si="25"/>
        <v/>
      </c>
      <c r="I371" s="237"/>
    </row>
    <row r="372" spans="1:9">
      <c r="A372" s="232">
        <f t="shared" si="22"/>
        <v>370</v>
      </c>
      <c r="B372" s="233">
        <v>45814</v>
      </c>
      <c r="C372" s="234">
        <v>231.74080900000001</v>
      </c>
      <c r="D372" s="235">
        <v>193.62149049757886</v>
      </c>
      <c r="E372" s="234">
        <f t="shared" si="23"/>
        <v>193.62149049757886</v>
      </c>
      <c r="F372" s="239"/>
      <c r="G372" s="188" t="str">
        <f t="shared" si="24"/>
        <v/>
      </c>
      <c r="H372" s="236" t="str">
        <f t="shared" si="25"/>
        <v/>
      </c>
      <c r="I372" s="237"/>
    </row>
    <row r="373" spans="1:9">
      <c r="A373" s="232">
        <f t="shared" si="22"/>
        <v>371</v>
      </c>
      <c r="B373" s="233">
        <v>45815</v>
      </c>
      <c r="C373" s="234">
        <v>197.18569099999999</v>
      </c>
      <c r="D373" s="235">
        <v>193.62149049757886</v>
      </c>
      <c r="E373" s="234">
        <f t="shared" si="23"/>
        <v>193.62149049757886</v>
      </c>
      <c r="F373" s="239"/>
      <c r="G373" s="188" t="str">
        <f t="shared" si="24"/>
        <v/>
      </c>
      <c r="H373" s="236" t="str">
        <f t="shared" si="25"/>
        <v/>
      </c>
      <c r="I373" s="237"/>
    </row>
    <row r="374" spans="1:9">
      <c r="A374" s="232">
        <f t="shared" si="22"/>
        <v>372</v>
      </c>
      <c r="B374" s="233">
        <v>45816</v>
      </c>
      <c r="C374" s="234">
        <v>168.514453</v>
      </c>
      <c r="D374" s="235">
        <v>193.62149049757886</v>
      </c>
      <c r="E374" s="234">
        <f t="shared" si="23"/>
        <v>168.514453</v>
      </c>
      <c r="F374" s="239"/>
      <c r="G374" s="188" t="str">
        <f t="shared" si="24"/>
        <v/>
      </c>
      <c r="H374" s="236" t="str">
        <f t="shared" si="25"/>
        <v/>
      </c>
      <c r="I374" s="237"/>
    </row>
    <row r="375" spans="1:9">
      <c r="A375" s="232">
        <f t="shared" si="22"/>
        <v>373</v>
      </c>
      <c r="B375" s="233">
        <v>45817</v>
      </c>
      <c r="C375" s="234">
        <v>192.91655499999999</v>
      </c>
      <c r="D375" s="235">
        <v>193.62149049757886</v>
      </c>
      <c r="E375" s="234">
        <f t="shared" si="23"/>
        <v>192.91655499999999</v>
      </c>
      <c r="F375" s="239"/>
      <c r="G375" s="188" t="str">
        <f t="shared" si="24"/>
        <v/>
      </c>
      <c r="H375" s="236" t="str">
        <f t="shared" si="25"/>
        <v/>
      </c>
      <c r="I375" s="237"/>
    </row>
    <row r="376" spans="1:9">
      <c r="A376" s="232">
        <f t="shared" si="22"/>
        <v>374</v>
      </c>
      <c r="B376" s="233">
        <v>45818</v>
      </c>
      <c r="C376" s="234">
        <v>165.01333399999999</v>
      </c>
      <c r="D376" s="235">
        <v>193.62149049757886</v>
      </c>
      <c r="E376" s="234">
        <f t="shared" si="23"/>
        <v>165.01333399999999</v>
      </c>
      <c r="F376" s="239"/>
      <c r="G376" s="188" t="str">
        <f t="shared" si="24"/>
        <v/>
      </c>
      <c r="H376" s="236" t="str">
        <f t="shared" si="25"/>
        <v/>
      </c>
      <c r="I376" s="237"/>
    </row>
    <row r="377" spans="1:9">
      <c r="A377" s="232">
        <f t="shared" si="22"/>
        <v>375</v>
      </c>
      <c r="B377" s="233">
        <v>45819</v>
      </c>
      <c r="C377" s="234">
        <v>174.78965899999997</v>
      </c>
      <c r="D377" s="235">
        <v>193.62149049757886</v>
      </c>
      <c r="E377" s="234">
        <f t="shared" si="23"/>
        <v>174.78965899999997</v>
      </c>
      <c r="F377" s="239"/>
      <c r="G377" s="188" t="str">
        <f t="shared" si="24"/>
        <v/>
      </c>
      <c r="H377" s="236" t="str">
        <f t="shared" si="25"/>
        <v/>
      </c>
      <c r="I377" s="237"/>
    </row>
    <row r="378" spans="1:9">
      <c r="A378" s="232">
        <f t="shared" si="22"/>
        <v>376</v>
      </c>
      <c r="B378" s="233">
        <v>45820</v>
      </c>
      <c r="C378" s="234">
        <v>222.502464</v>
      </c>
      <c r="D378" s="235">
        <v>193.62149049757886</v>
      </c>
      <c r="E378" s="234">
        <f t="shared" si="23"/>
        <v>193.62149049757886</v>
      </c>
      <c r="F378" s="239"/>
      <c r="G378" s="188" t="str">
        <f t="shared" si="24"/>
        <v/>
      </c>
      <c r="H378" s="236" t="str">
        <f t="shared" si="25"/>
        <v/>
      </c>
      <c r="I378" s="237"/>
    </row>
    <row r="379" spans="1:9">
      <c r="A379" s="232">
        <f t="shared" si="22"/>
        <v>377</v>
      </c>
      <c r="B379" s="233">
        <v>45821</v>
      </c>
      <c r="C379" s="234">
        <v>216.23995199999999</v>
      </c>
      <c r="D379" s="235">
        <v>193.62149049757886</v>
      </c>
      <c r="E379" s="234">
        <f t="shared" si="23"/>
        <v>193.62149049757886</v>
      </c>
      <c r="F379" s="239"/>
      <c r="G379" s="188" t="str">
        <f t="shared" si="24"/>
        <v/>
      </c>
      <c r="H379" s="236" t="str">
        <f t="shared" si="25"/>
        <v/>
      </c>
      <c r="I379" s="237"/>
    </row>
    <row r="380" spans="1:9">
      <c r="A380" s="232">
        <f t="shared" si="22"/>
        <v>378</v>
      </c>
      <c r="B380" s="233">
        <v>45822</v>
      </c>
      <c r="C380" s="234">
        <v>196.15393700000001</v>
      </c>
      <c r="D380" s="235">
        <v>193.62149049757886</v>
      </c>
      <c r="E380" s="234">
        <f t="shared" si="23"/>
        <v>193.62149049757886</v>
      </c>
      <c r="F380" s="239"/>
      <c r="G380" s="188" t="str">
        <f t="shared" si="24"/>
        <v/>
      </c>
      <c r="H380" s="236" t="str">
        <f t="shared" si="25"/>
        <v/>
      </c>
      <c r="I380" s="237"/>
    </row>
    <row r="381" spans="1:9">
      <c r="A381" s="232">
        <f t="shared" si="22"/>
        <v>379</v>
      </c>
      <c r="B381" s="233">
        <v>45823</v>
      </c>
      <c r="C381" s="234">
        <v>172.82650900000002</v>
      </c>
      <c r="D381" s="235">
        <v>193.62149049757886</v>
      </c>
      <c r="E381" s="234">
        <f t="shared" si="23"/>
        <v>172.82650900000002</v>
      </c>
      <c r="F381" s="239"/>
      <c r="G381" s="188" t="str">
        <f t="shared" si="24"/>
        <v>J</v>
      </c>
      <c r="H381" s="236" t="str">
        <f t="shared" si="25"/>
        <v>193,6</v>
      </c>
      <c r="I381" s="237"/>
    </row>
    <row r="382" spans="1:9">
      <c r="A382" s="232">
        <f t="shared" si="22"/>
        <v>380</v>
      </c>
      <c r="B382" s="233">
        <v>45824</v>
      </c>
      <c r="C382" s="234">
        <v>217.81900499999998</v>
      </c>
      <c r="D382" s="235">
        <v>193.62149049757886</v>
      </c>
      <c r="E382" s="234">
        <f t="shared" si="23"/>
        <v>193.62149049757886</v>
      </c>
      <c r="F382" s="237"/>
      <c r="G382" s="188" t="str">
        <f t="shared" si="24"/>
        <v/>
      </c>
      <c r="H382" s="236" t="str">
        <f t="shared" si="25"/>
        <v/>
      </c>
      <c r="I382" s="237"/>
    </row>
    <row r="383" spans="1:9">
      <c r="A383" s="232">
        <f t="shared" si="22"/>
        <v>381</v>
      </c>
      <c r="B383" s="233">
        <v>45825</v>
      </c>
      <c r="C383" s="234">
        <v>216.87262699999999</v>
      </c>
      <c r="D383" s="235">
        <v>193.62149049757886</v>
      </c>
      <c r="E383" s="234">
        <f t="shared" si="23"/>
        <v>193.62149049757886</v>
      </c>
      <c r="F383" s="239"/>
      <c r="G383" s="188" t="str">
        <f t="shared" si="24"/>
        <v/>
      </c>
      <c r="H383" s="236" t="str">
        <f t="shared" si="25"/>
        <v/>
      </c>
      <c r="I383" s="237"/>
    </row>
    <row r="384" spans="1:9">
      <c r="A384" s="232">
        <f t="shared" si="22"/>
        <v>382</v>
      </c>
      <c r="B384" s="233">
        <v>45826</v>
      </c>
      <c r="C384" s="234">
        <v>218.50623899999999</v>
      </c>
      <c r="D384" s="235">
        <v>193.62149049757886</v>
      </c>
      <c r="E384" s="234">
        <f t="shared" si="23"/>
        <v>193.62149049757886</v>
      </c>
      <c r="F384" s="239"/>
      <c r="G384" s="188" t="str">
        <f t="shared" si="24"/>
        <v/>
      </c>
      <c r="H384" s="236" t="str">
        <f t="shared" si="25"/>
        <v/>
      </c>
      <c r="I384" s="237"/>
    </row>
    <row r="385" spans="1:9">
      <c r="A385" s="232">
        <f t="shared" si="22"/>
        <v>383</v>
      </c>
      <c r="B385" s="233">
        <v>45827</v>
      </c>
      <c r="C385" s="234">
        <v>186.247298</v>
      </c>
      <c r="D385" s="235">
        <v>193.62149049757886</v>
      </c>
      <c r="E385" s="234">
        <f t="shared" si="23"/>
        <v>186.247298</v>
      </c>
      <c r="F385" s="239"/>
      <c r="G385" s="188" t="str">
        <f t="shared" si="24"/>
        <v/>
      </c>
      <c r="H385" s="236" t="str">
        <f t="shared" si="25"/>
        <v/>
      </c>
      <c r="I385" s="237"/>
    </row>
    <row r="386" spans="1:9">
      <c r="A386" s="232">
        <f t="shared" si="22"/>
        <v>384</v>
      </c>
      <c r="B386" s="233">
        <v>45828</v>
      </c>
      <c r="C386" s="234">
        <v>225.09245799999999</v>
      </c>
      <c r="D386" s="235">
        <v>193.62149049757886</v>
      </c>
      <c r="E386" s="234">
        <f t="shared" si="23"/>
        <v>193.62149049757886</v>
      </c>
      <c r="F386" s="239"/>
      <c r="G386" s="188" t="str">
        <f t="shared" si="24"/>
        <v/>
      </c>
      <c r="H386" s="236" t="str">
        <f t="shared" si="25"/>
        <v/>
      </c>
      <c r="I386" s="237"/>
    </row>
    <row r="387" spans="1:9">
      <c r="A387" s="232">
        <f t="shared" si="22"/>
        <v>385</v>
      </c>
      <c r="B387" s="233">
        <v>45829</v>
      </c>
      <c r="C387" s="234">
        <v>213.15478899999999</v>
      </c>
      <c r="D387" s="235">
        <v>193.62149049757886</v>
      </c>
      <c r="E387" s="234">
        <f t="shared" si="23"/>
        <v>193.62149049757886</v>
      </c>
      <c r="F387" s="239"/>
      <c r="G387" s="188" t="str">
        <f t="shared" si="24"/>
        <v/>
      </c>
      <c r="H387" s="236" t="str">
        <f t="shared" si="25"/>
        <v/>
      </c>
      <c r="I387" s="237"/>
    </row>
    <row r="388" spans="1:9">
      <c r="A388" s="232">
        <f t="shared" ref="A388:A451" si="26">+A387+1</f>
        <v>386</v>
      </c>
      <c r="B388" s="233">
        <v>45830</v>
      </c>
      <c r="C388" s="234">
        <v>183.15809300000004</v>
      </c>
      <c r="D388" s="235">
        <v>193.62149049757886</v>
      </c>
      <c r="E388" s="234">
        <f t="shared" ref="E388:E451" si="27">IF(C388&gt;D388,D388,C388)</f>
        <v>183.15809300000004</v>
      </c>
      <c r="F388" s="239"/>
      <c r="G388" s="188" t="str">
        <f t="shared" ref="G388:G451" si="28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  <c r="H388" s="236" t="str">
        <f t="shared" ref="H388:H451" si="29">IF(DAY($B388)=15,TEXT(D388,"#,0"),"")</f>
        <v/>
      </c>
      <c r="I388" s="237"/>
    </row>
    <row r="389" spans="1:9">
      <c r="A389" s="232">
        <f t="shared" si="26"/>
        <v>387</v>
      </c>
      <c r="B389" s="233">
        <v>45831</v>
      </c>
      <c r="C389" s="234">
        <v>192.96741700000001</v>
      </c>
      <c r="D389" s="235">
        <v>193.62149049757886</v>
      </c>
      <c r="E389" s="234">
        <f t="shared" si="27"/>
        <v>192.96741700000001</v>
      </c>
      <c r="F389" s="239"/>
      <c r="G389" s="188" t="str">
        <f t="shared" si="28"/>
        <v/>
      </c>
      <c r="H389" s="236" t="str">
        <f t="shared" si="29"/>
        <v/>
      </c>
      <c r="I389" s="237"/>
    </row>
    <row r="390" spans="1:9">
      <c r="A390" s="232">
        <f t="shared" si="26"/>
        <v>388</v>
      </c>
      <c r="B390" s="233">
        <v>45832</v>
      </c>
      <c r="C390" s="234">
        <v>178.90685200000001</v>
      </c>
      <c r="D390" s="235">
        <v>193.62149049757886</v>
      </c>
      <c r="E390" s="234">
        <f t="shared" si="27"/>
        <v>178.90685200000001</v>
      </c>
      <c r="F390" s="239"/>
      <c r="G390" s="188" t="str">
        <f t="shared" si="28"/>
        <v/>
      </c>
      <c r="H390" s="236" t="str">
        <f t="shared" si="29"/>
        <v/>
      </c>
      <c r="I390" s="237"/>
    </row>
    <row r="391" spans="1:9">
      <c r="A391" s="232">
        <f t="shared" si="26"/>
        <v>389</v>
      </c>
      <c r="B391" s="233">
        <v>45833</v>
      </c>
      <c r="C391" s="234">
        <v>234.19725099999999</v>
      </c>
      <c r="D391" s="235">
        <v>193.62149049757886</v>
      </c>
      <c r="E391" s="234">
        <f t="shared" si="27"/>
        <v>193.62149049757886</v>
      </c>
      <c r="F391" s="239"/>
      <c r="G391" s="188" t="str">
        <f t="shared" si="28"/>
        <v/>
      </c>
      <c r="H391" s="236" t="str">
        <f t="shared" si="29"/>
        <v/>
      </c>
      <c r="I391" s="237"/>
    </row>
    <row r="392" spans="1:9">
      <c r="A392" s="232">
        <f t="shared" si="26"/>
        <v>390</v>
      </c>
      <c r="B392" s="233">
        <v>45834</v>
      </c>
      <c r="C392" s="234">
        <v>248.15229500000001</v>
      </c>
      <c r="D392" s="235">
        <v>193.62149049757886</v>
      </c>
      <c r="E392" s="234">
        <f t="shared" si="27"/>
        <v>193.62149049757886</v>
      </c>
      <c r="F392" s="239"/>
      <c r="G392" s="188" t="str">
        <f t="shared" si="28"/>
        <v/>
      </c>
      <c r="H392" s="236" t="str">
        <f t="shared" si="29"/>
        <v/>
      </c>
      <c r="I392" s="237"/>
    </row>
    <row r="393" spans="1:9">
      <c r="A393" s="232">
        <f t="shared" si="26"/>
        <v>391</v>
      </c>
      <c r="B393" s="233">
        <v>45835</v>
      </c>
      <c r="C393" s="234">
        <v>246.62666400000001</v>
      </c>
      <c r="D393" s="235">
        <v>193.62149049757886</v>
      </c>
      <c r="E393" s="234">
        <f t="shared" si="27"/>
        <v>193.62149049757886</v>
      </c>
      <c r="F393" s="239"/>
      <c r="G393" s="188" t="str">
        <f t="shared" si="28"/>
        <v/>
      </c>
      <c r="H393" s="236" t="str">
        <f t="shared" si="29"/>
        <v/>
      </c>
      <c r="I393" s="237"/>
    </row>
    <row r="394" spans="1:9">
      <c r="A394" s="232">
        <f t="shared" si="26"/>
        <v>392</v>
      </c>
      <c r="B394" s="233">
        <v>45836</v>
      </c>
      <c r="C394" s="234">
        <v>228.95788499999998</v>
      </c>
      <c r="D394" s="235">
        <v>193.62149049757886</v>
      </c>
      <c r="E394" s="234">
        <f t="shared" si="27"/>
        <v>193.62149049757886</v>
      </c>
      <c r="F394" s="239"/>
      <c r="G394" s="188" t="str">
        <f t="shared" si="28"/>
        <v/>
      </c>
      <c r="H394" s="236" t="str">
        <f t="shared" si="29"/>
        <v/>
      </c>
      <c r="I394" s="237"/>
    </row>
    <row r="395" spans="1:9">
      <c r="A395" s="232">
        <f t="shared" si="26"/>
        <v>393</v>
      </c>
      <c r="B395" s="233">
        <v>45837</v>
      </c>
      <c r="C395" s="234">
        <v>211.918543</v>
      </c>
      <c r="D395" s="235">
        <v>193.62149049757886</v>
      </c>
      <c r="E395" s="234">
        <f t="shared" si="27"/>
        <v>193.62149049757886</v>
      </c>
      <c r="F395" s="239"/>
      <c r="G395" s="188" t="str">
        <f t="shared" si="28"/>
        <v/>
      </c>
      <c r="H395" s="236" t="str">
        <f t="shared" si="29"/>
        <v/>
      </c>
      <c r="I395" s="237"/>
    </row>
    <row r="396" spans="1:9">
      <c r="A396" s="232">
        <f t="shared" si="26"/>
        <v>394</v>
      </c>
      <c r="B396" s="233">
        <v>45838</v>
      </c>
      <c r="C396" s="234">
        <v>206.99128399999998</v>
      </c>
      <c r="D396" s="235">
        <v>193.62149049757886</v>
      </c>
      <c r="E396" s="234">
        <f t="shared" si="27"/>
        <v>193.62149049757886</v>
      </c>
      <c r="F396" s="239"/>
      <c r="G396" s="188" t="str">
        <f t="shared" si="28"/>
        <v/>
      </c>
      <c r="H396" s="236" t="str">
        <f t="shared" si="29"/>
        <v/>
      </c>
      <c r="I396" s="237"/>
    </row>
    <row r="397" spans="1:9">
      <c r="A397" s="232">
        <f t="shared" si="26"/>
        <v>395</v>
      </c>
      <c r="B397" s="233">
        <v>45839</v>
      </c>
      <c r="C397" s="234">
        <v>221.75057899999999</v>
      </c>
      <c r="D397" s="235">
        <v>200.32198172782029</v>
      </c>
      <c r="E397" s="234">
        <f t="shared" si="27"/>
        <v>200.32198172782029</v>
      </c>
      <c r="F397" s="239"/>
      <c r="G397" s="188" t="str">
        <f t="shared" si="28"/>
        <v/>
      </c>
      <c r="H397" s="236" t="str">
        <f t="shared" si="29"/>
        <v/>
      </c>
      <c r="I397" s="237"/>
    </row>
    <row r="398" spans="1:9">
      <c r="A398" s="232">
        <f t="shared" si="26"/>
        <v>396</v>
      </c>
      <c r="B398" s="233">
        <v>45840</v>
      </c>
      <c r="C398" s="234">
        <v>213.68207100000001</v>
      </c>
      <c r="D398" s="235">
        <v>200.32198172782029</v>
      </c>
      <c r="E398" s="234">
        <f t="shared" si="27"/>
        <v>200.32198172782029</v>
      </c>
      <c r="F398" s="237"/>
      <c r="G398" s="188" t="str">
        <f t="shared" si="28"/>
        <v/>
      </c>
      <c r="H398" s="236" t="str">
        <f t="shared" si="29"/>
        <v/>
      </c>
      <c r="I398" s="237"/>
    </row>
    <row r="399" spans="1:9">
      <c r="A399" s="232">
        <f t="shared" si="26"/>
        <v>397</v>
      </c>
      <c r="B399" s="233">
        <v>45841</v>
      </c>
      <c r="C399" s="234">
        <v>213.91355999999999</v>
      </c>
      <c r="D399" s="235">
        <v>200.32198172782029</v>
      </c>
      <c r="E399" s="234">
        <f t="shared" si="27"/>
        <v>200.32198172782029</v>
      </c>
      <c r="F399" s="237"/>
      <c r="G399" s="188" t="str">
        <f t="shared" si="28"/>
        <v/>
      </c>
      <c r="H399" s="236" t="str">
        <f t="shared" si="29"/>
        <v/>
      </c>
      <c r="I399" s="237"/>
    </row>
    <row r="400" spans="1:9">
      <c r="A400" s="232">
        <f t="shared" si="26"/>
        <v>398</v>
      </c>
      <c r="B400" s="233">
        <v>45842</v>
      </c>
      <c r="C400" s="234">
        <v>208.03401499999998</v>
      </c>
      <c r="D400" s="235">
        <v>200.32198172782029</v>
      </c>
      <c r="E400" s="234">
        <f t="shared" si="27"/>
        <v>200.32198172782029</v>
      </c>
      <c r="F400" s="239"/>
      <c r="G400" s="188" t="str">
        <f t="shared" si="28"/>
        <v/>
      </c>
      <c r="H400" s="236" t="str">
        <f t="shared" si="29"/>
        <v/>
      </c>
      <c r="I400" s="237"/>
    </row>
    <row r="401" spans="1:9">
      <c r="A401" s="232">
        <f t="shared" si="26"/>
        <v>399</v>
      </c>
      <c r="B401" s="233">
        <v>45843</v>
      </c>
      <c r="C401" s="234">
        <v>205.76929100000001</v>
      </c>
      <c r="D401" s="235">
        <v>200.32198172782029</v>
      </c>
      <c r="E401" s="234">
        <f t="shared" si="27"/>
        <v>200.32198172782029</v>
      </c>
      <c r="F401" s="239"/>
      <c r="G401" s="188" t="str">
        <f t="shared" si="28"/>
        <v/>
      </c>
      <c r="H401" s="236" t="str">
        <f t="shared" si="29"/>
        <v/>
      </c>
      <c r="I401" s="237"/>
    </row>
    <row r="402" spans="1:9">
      <c r="A402" s="232">
        <f t="shared" si="26"/>
        <v>400</v>
      </c>
      <c r="B402" s="233">
        <v>45844</v>
      </c>
      <c r="C402" s="234">
        <v>199.92443600000001</v>
      </c>
      <c r="D402" s="235">
        <v>200.32198172782029</v>
      </c>
      <c r="E402" s="234">
        <f t="shared" si="27"/>
        <v>199.92443600000001</v>
      </c>
      <c r="F402" s="239"/>
      <c r="G402" s="188" t="str">
        <f t="shared" si="28"/>
        <v/>
      </c>
      <c r="H402" s="236" t="str">
        <f t="shared" si="29"/>
        <v/>
      </c>
      <c r="I402" s="237"/>
    </row>
    <row r="403" spans="1:9">
      <c r="A403" s="232">
        <f t="shared" si="26"/>
        <v>401</v>
      </c>
      <c r="B403" s="233">
        <v>45845</v>
      </c>
      <c r="C403" s="234">
        <v>233.50706500000001</v>
      </c>
      <c r="D403" s="235">
        <v>200.32198172782029</v>
      </c>
      <c r="E403" s="234">
        <f t="shared" si="27"/>
        <v>200.32198172782029</v>
      </c>
      <c r="F403" s="239"/>
      <c r="G403" s="188" t="str">
        <f t="shared" si="28"/>
        <v/>
      </c>
      <c r="H403" s="236" t="str">
        <f t="shared" si="29"/>
        <v/>
      </c>
      <c r="I403" s="237"/>
    </row>
    <row r="404" spans="1:9">
      <c r="A404" s="232">
        <f t="shared" si="26"/>
        <v>402</v>
      </c>
      <c r="B404" s="233">
        <v>45846</v>
      </c>
      <c r="C404" s="234">
        <v>213.21140899999997</v>
      </c>
      <c r="D404" s="235">
        <v>200.32198172782029</v>
      </c>
      <c r="E404" s="234">
        <f t="shared" si="27"/>
        <v>200.32198172782029</v>
      </c>
      <c r="F404" s="239"/>
      <c r="G404" s="188" t="str">
        <f t="shared" si="28"/>
        <v/>
      </c>
      <c r="H404" s="236" t="str">
        <f t="shared" si="29"/>
        <v/>
      </c>
      <c r="I404" s="237"/>
    </row>
    <row r="405" spans="1:9">
      <c r="A405" s="232">
        <f t="shared" si="26"/>
        <v>403</v>
      </c>
      <c r="B405" s="233">
        <v>45847</v>
      </c>
      <c r="C405" s="234">
        <v>199.85562100000001</v>
      </c>
      <c r="D405" s="235">
        <v>200.32198172782029</v>
      </c>
      <c r="E405" s="234">
        <f t="shared" si="27"/>
        <v>199.85562100000001</v>
      </c>
      <c r="F405" s="239"/>
      <c r="G405" s="188" t="str">
        <f t="shared" si="28"/>
        <v/>
      </c>
      <c r="H405" s="236" t="str">
        <f t="shared" si="29"/>
        <v/>
      </c>
      <c r="I405" s="237"/>
    </row>
    <row r="406" spans="1:9">
      <c r="A406" s="232">
        <f t="shared" si="26"/>
        <v>404</v>
      </c>
      <c r="B406" s="233">
        <v>45848</v>
      </c>
      <c r="C406" s="234">
        <v>220.94046299999999</v>
      </c>
      <c r="D406" s="235">
        <v>200.32198172782029</v>
      </c>
      <c r="E406" s="234">
        <f t="shared" si="27"/>
        <v>200.32198172782029</v>
      </c>
      <c r="F406" s="239"/>
      <c r="G406" s="188" t="str">
        <f t="shared" si="28"/>
        <v/>
      </c>
      <c r="H406" s="236" t="str">
        <f t="shared" si="29"/>
        <v/>
      </c>
      <c r="I406" s="237"/>
    </row>
    <row r="407" spans="1:9">
      <c r="A407" s="232">
        <f t="shared" si="26"/>
        <v>405</v>
      </c>
      <c r="B407" s="233">
        <v>45849</v>
      </c>
      <c r="C407" s="234">
        <v>210.11756199999996</v>
      </c>
      <c r="D407" s="235">
        <v>200.32198172782029</v>
      </c>
      <c r="E407" s="234">
        <f t="shared" si="27"/>
        <v>200.32198172782029</v>
      </c>
      <c r="F407" s="239"/>
      <c r="G407" s="188" t="str">
        <f t="shared" si="28"/>
        <v/>
      </c>
      <c r="H407" s="236" t="str">
        <f t="shared" si="29"/>
        <v/>
      </c>
      <c r="I407" s="237"/>
    </row>
    <row r="408" spans="1:9">
      <c r="A408" s="232">
        <f t="shared" si="26"/>
        <v>406</v>
      </c>
      <c r="B408" s="233">
        <v>45850</v>
      </c>
      <c r="C408" s="234">
        <v>173.44013999999999</v>
      </c>
      <c r="D408" s="235">
        <v>200.32198172782029</v>
      </c>
      <c r="E408" s="234">
        <f t="shared" si="27"/>
        <v>173.44013999999999</v>
      </c>
      <c r="F408" s="239"/>
      <c r="G408" s="188" t="str">
        <f t="shared" si="28"/>
        <v/>
      </c>
      <c r="H408" s="236" t="str">
        <f t="shared" si="29"/>
        <v/>
      </c>
      <c r="I408" s="237"/>
    </row>
    <row r="409" spans="1:9">
      <c r="A409" s="232">
        <f t="shared" si="26"/>
        <v>407</v>
      </c>
      <c r="B409" s="233">
        <v>45851</v>
      </c>
      <c r="C409" s="234">
        <v>224.31830499999998</v>
      </c>
      <c r="D409" s="235">
        <v>200.32198172782029</v>
      </c>
      <c r="E409" s="234">
        <f t="shared" si="27"/>
        <v>200.32198172782029</v>
      </c>
      <c r="F409" s="239"/>
      <c r="G409" s="188" t="str">
        <f t="shared" si="28"/>
        <v/>
      </c>
      <c r="H409" s="236" t="str">
        <f t="shared" si="29"/>
        <v/>
      </c>
      <c r="I409" s="237"/>
    </row>
    <row r="410" spans="1:9">
      <c r="A410" s="232">
        <f t="shared" si="26"/>
        <v>408</v>
      </c>
      <c r="B410" s="233">
        <v>45852</v>
      </c>
      <c r="C410" s="234">
        <v>246.69759400000001</v>
      </c>
      <c r="D410" s="235">
        <v>200.32198172782029</v>
      </c>
      <c r="E410" s="234">
        <f t="shared" si="27"/>
        <v>200.32198172782029</v>
      </c>
      <c r="F410" s="239"/>
      <c r="G410" s="188" t="str">
        <f t="shared" si="28"/>
        <v/>
      </c>
      <c r="H410" s="236" t="str">
        <f t="shared" si="29"/>
        <v/>
      </c>
      <c r="I410" s="237"/>
    </row>
    <row r="411" spans="1:9">
      <c r="A411" s="232">
        <f t="shared" si="26"/>
        <v>409</v>
      </c>
      <c r="B411" s="233">
        <v>45853</v>
      </c>
      <c r="C411" s="234">
        <v>234.97137899999998</v>
      </c>
      <c r="D411" s="235">
        <v>200.32198172782029</v>
      </c>
      <c r="E411" s="234">
        <f t="shared" si="27"/>
        <v>200.32198172782029</v>
      </c>
      <c r="F411" s="239"/>
      <c r="G411" s="188" t="str">
        <f t="shared" si="28"/>
        <v>J</v>
      </c>
      <c r="H411" s="236" t="str">
        <f t="shared" si="29"/>
        <v>200,3</v>
      </c>
      <c r="I411" s="237"/>
    </row>
    <row r="412" spans="1:9">
      <c r="A412" s="232">
        <f t="shared" si="26"/>
        <v>410</v>
      </c>
      <c r="B412" s="233">
        <v>45854</v>
      </c>
      <c r="C412" s="234">
        <v>241.10256099999998</v>
      </c>
      <c r="D412" s="235">
        <v>200.32198172782029</v>
      </c>
      <c r="E412" s="234">
        <f t="shared" si="27"/>
        <v>200.32198172782029</v>
      </c>
      <c r="F412" s="239"/>
      <c r="G412" s="188" t="str">
        <f t="shared" si="28"/>
        <v/>
      </c>
      <c r="H412" s="236" t="str">
        <f t="shared" si="29"/>
        <v/>
      </c>
      <c r="I412" s="237"/>
    </row>
    <row r="413" spans="1:9">
      <c r="A413" s="232">
        <f t="shared" si="26"/>
        <v>411</v>
      </c>
      <c r="B413" s="233">
        <v>45855</v>
      </c>
      <c r="C413" s="234">
        <v>219.89296200000001</v>
      </c>
      <c r="D413" s="235">
        <v>200.32198172782029</v>
      </c>
      <c r="E413" s="234">
        <f t="shared" si="27"/>
        <v>200.32198172782029</v>
      </c>
      <c r="F413" s="239"/>
      <c r="G413" s="188" t="str">
        <f t="shared" si="28"/>
        <v/>
      </c>
      <c r="H413" s="236" t="str">
        <f t="shared" si="29"/>
        <v/>
      </c>
      <c r="I413" s="237"/>
    </row>
    <row r="414" spans="1:9">
      <c r="A414" s="232">
        <f t="shared" si="26"/>
        <v>412</v>
      </c>
      <c r="B414" s="233">
        <v>45856</v>
      </c>
      <c r="C414" s="234">
        <v>211.86495799999997</v>
      </c>
      <c r="D414" s="235">
        <v>200.32198172782029</v>
      </c>
      <c r="E414" s="234">
        <f t="shared" si="27"/>
        <v>200.32198172782029</v>
      </c>
      <c r="F414" s="239"/>
      <c r="G414" s="188" t="str">
        <f t="shared" si="28"/>
        <v/>
      </c>
      <c r="H414" s="236" t="str">
        <f t="shared" si="29"/>
        <v/>
      </c>
      <c r="I414" s="237"/>
    </row>
    <row r="415" spans="1:9">
      <c r="A415" s="232">
        <f t="shared" si="26"/>
        <v>413</v>
      </c>
      <c r="B415" s="233">
        <v>45857</v>
      </c>
      <c r="C415" s="234">
        <v>188.49860899999999</v>
      </c>
      <c r="D415" s="235">
        <v>200.32198172782029</v>
      </c>
      <c r="E415" s="234">
        <f t="shared" si="27"/>
        <v>188.49860899999999</v>
      </c>
      <c r="F415" s="239"/>
      <c r="G415" s="188" t="str">
        <f t="shared" si="28"/>
        <v/>
      </c>
      <c r="H415" s="236" t="str">
        <f t="shared" si="29"/>
        <v/>
      </c>
      <c r="I415" s="237"/>
    </row>
    <row r="416" spans="1:9">
      <c r="A416" s="232">
        <f t="shared" si="26"/>
        <v>414</v>
      </c>
      <c r="B416" s="233">
        <v>45858</v>
      </c>
      <c r="C416" s="234">
        <v>166.53758200000001</v>
      </c>
      <c r="D416" s="235">
        <v>200.32198172782029</v>
      </c>
      <c r="E416" s="234">
        <f t="shared" si="27"/>
        <v>166.53758200000001</v>
      </c>
      <c r="F416" s="239"/>
      <c r="G416" s="188" t="str">
        <f t="shared" si="28"/>
        <v/>
      </c>
      <c r="H416" s="236" t="str">
        <f t="shared" si="29"/>
        <v/>
      </c>
      <c r="I416" s="237"/>
    </row>
    <row r="417" spans="1:9">
      <c r="A417" s="232">
        <f t="shared" si="26"/>
        <v>415</v>
      </c>
      <c r="B417" s="233">
        <v>45859</v>
      </c>
      <c r="C417" s="234">
        <v>234.42409099999998</v>
      </c>
      <c r="D417" s="235">
        <v>200.32198172782029</v>
      </c>
      <c r="E417" s="234">
        <f t="shared" si="27"/>
        <v>200.32198172782029</v>
      </c>
      <c r="F417" s="239"/>
      <c r="G417" s="188" t="str">
        <f t="shared" si="28"/>
        <v/>
      </c>
      <c r="H417" s="236" t="str">
        <f t="shared" si="29"/>
        <v/>
      </c>
      <c r="I417" s="237"/>
    </row>
    <row r="418" spans="1:9">
      <c r="A418" s="232">
        <f t="shared" si="26"/>
        <v>416</v>
      </c>
      <c r="B418" s="233">
        <v>45860</v>
      </c>
      <c r="C418" s="234">
        <v>219.469977</v>
      </c>
      <c r="D418" s="235">
        <v>200.32198172782029</v>
      </c>
      <c r="E418" s="234">
        <f t="shared" si="27"/>
        <v>200.32198172782029</v>
      </c>
      <c r="F418" s="239"/>
      <c r="G418" s="188" t="str">
        <f t="shared" si="28"/>
        <v/>
      </c>
      <c r="H418" s="236" t="str">
        <f t="shared" si="29"/>
        <v/>
      </c>
      <c r="I418" s="237"/>
    </row>
    <row r="419" spans="1:9">
      <c r="A419" s="232">
        <f t="shared" si="26"/>
        <v>417</v>
      </c>
      <c r="B419" s="233">
        <v>45861</v>
      </c>
      <c r="C419" s="234">
        <v>173.66948700000003</v>
      </c>
      <c r="D419" s="235">
        <v>200.32198172782029</v>
      </c>
      <c r="E419" s="234">
        <f t="shared" si="27"/>
        <v>173.66948700000003</v>
      </c>
      <c r="F419" s="239"/>
      <c r="G419" s="188" t="str">
        <f t="shared" si="28"/>
        <v/>
      </c>
      <c r="H419" s="236" t="str">
        <f t="shared" si="29"/>
        <v/>
      </c>
      <c r="I419" s="237"/>
    </row>
    <row r="420" spans="1:9">
      <c r="A420" s="232">
        <f t="shared" si="26"/>
        <v>418</v>
      </c>
      <c r="B420" s="233">
        <v>45862</v>
      </c>
      <c r="C420" s="234">
        <v>180.28992600000001</v>
      </c>
      <c r="D420" s="235">
        <v>200.32198172782029</v>
      </c>
      <c r="E420" s="234">
        <f t="shared" si="27"/>
        <v>180.28992600000001</v>
      </c>
      <c r="F420" s="239"/>
      <c r="G420" s="188" t="str">
        <f t="shared" si="28"/>
        <v/>
      </c>
      <c r="H420" s="236" t="str">
        <f t="shared" si="29"/>
        <v/>
      </c>
      <c r="I420" s="237"/>
    </row>
    <row r="421" spans="1:9">
      <c r="A421" s="232">
        <f t="shared" si="26"/>
        <v>419</v>
      </c>
      <c r="B421" s="233">
        <v>45863</v>
      </c>
      <c r="C421" s="234">
        <v>195.62984499999999</v>
      </c>
      <c r="D421" s="235">
        <v>200.32198172782029</v>
      </c>
      <c r="E421" s="234">
        <f t="shared" si="27"/>
        <v>195.62984499999999</v>
      </c>
      <c r="F421" s="239"/>
      <c r="G421" s="188" t="str">
        <f t="shared" si="28"/>
        <v/>
      </c>
      <c r="H421" s="236" t="str">
        <f t="shared" si="29"/>
        <v/>
      </c>
      <c r="I421" s="237"/>
    </row>
    <row r="422" spans="1:9">
      <c r="A422" s="232">
        <f t="shared" si="26"/>
        <v>420</v>
      </c>
      <c r="B422" s="233">
        <v>45864</v>
      </c>
      <c r="C422" s="234">
        <v>199.67267700000002</v>
      </c>
      <c r="D422" s="235">
        <v>200.32198172782029</v>
      </c>
      <c r="E422" s="234">
        <f t="shared" si="27"/>
        <v>199.67267700000002</v>
      </c>
      <c r="F422" s="239"/>
      <c r="G422" s="188" t="str">
        <f t="shared" si="28"/>
        <v/>
      </c>
      <c r="H422" s="236" t="str">
        <f t="shared" si="29"/>
        <v/>
      </c>
      <c r="I422" s="237"/>
    </row>
    <row r="423" spans="1:9">
      <c r="A423" s="232">
        <f t="shared" si="26"/>
        <v>421</v>
      </c>
      <c r="B423" s="233">
        <v>45865</v>
      </c>
      <c r="C423" s="234">
        <v>181.35949000000002</v>
      </c>
      <c r="D423" s="235">
        <v>200.32198172782029</v>
      </c>
      <c r="E423" s="234">
        <f t="shared" si="27"/>
        <v>181.35949000000002</v>
      </c>
      <c r="F423" s="239"/>
      <c r="G423" s="188" t="str">
        <f t="shared" si="28"/>
        <v/>
      </c>
      <c r="H423" s="236" t="str">
        <f t="shared" si="29"/>
        <v/>
      </c>
      <c r="I423" s="237"/>
    </row>
    <row r="424" spans="1:9">
      <c r="A424" s="232">
        <f t="shared" si="26"/>
        <v>422</v>
      </c>
      <c r="B424" s="233">
        <v>45866</v>
      </c>
      <c r="C424" s="234">
        <v>197.95125799999997</v>
      </c>
      <c r="D424" s="235">
        <v>200.32198172782029</v>
      </c>
      <c r="E424" s="234">
        <f t="shared" si="27"/>
        <v>197.95125799999997</v>
      </c>
      <c r="F424" s="239"/>
      <c r="G424" s="188" t="str">
        <f t="shared" si="28"/>
        <v/>
      </c>
      <c r="H424" s="236" t="str">
        <f t="shared" si="29"/>
        <v/>
      </c>
      <c r="I424" s="237"/>
    </row>
    <row r="425" spans="1:9">
      <c r="A425" s="232">
        <f t="shared" si="26"/>
        <v>423</v>
      </c>
      <c r="B425" s="233">
        <v>45867</v>
      </c>
      <c r="C425" s="234">
        <v>181.14196500000003</v>
      </c>
      <c r="D425" s="235">
        <v>200.32198172782029</v>
      </c>
      <c r="E425" s="234">
        <f t="shared" si="27"/>
        <v>181.14196500000003</v>
      </c>
      <c r="F425" s="239"/>
      <c r="G425" s="188" t="str">
        <f t="shared" si="28"/>
        <v/>
      </c>
      <c r="H425" s="236" t="str">
        <f t="shared" si="29"/>
        <v/>
      </c>
      <c r="I425" s="237"/>
    </row>
    <row r="426" spans="1:9">
      <c r="A426" s="232">
        <f t="shared" si="26"/>
        <v>424</v>
      </c>
      <c r="B426" s="233">
        <v>45868</v>
      </c>
      <c r="C426" s="234">
        <v>198.73182</v>
      </c>
      <c r="D426" s="235">
        <v>200.32198172782029</v>
      </c>
      <c r="E426" s="234">
        <f t="shared" si="27"/>
        <v>198.73182</v>
      </c>
      <c r="F426" s="239"/>
      <c r="G426" s="188" t="str">
        <f t="shared" si="28"/>
        <v/>
      </c>
      <c r="H426" s="236" t="str">
        <f t="shared" si="29"/>
        <v/>
      </c>
      <c r="I426" s="237"/>
    </row>
    <row r="427" spans="1:9">
      <c r="A427" s="232">
        <f t="shared" si="26"/>
        <v>425</v>
      </c>
      <c r="B427" s="233">
        <v>45869</v>
      </c>
      <c r="C427" s="234">
        <v>206.078543</v>
      </c>
      <c r="D427" s="235">
        <v>200.32198172782029</v>
      </c>
      <c r="E427" s="234">
        <f t="shared" si="27"/>
        <v>200.32198172782029</v>
      </c>
      <c r="F427" s="239"/>
      <c r="G427" s="188" t="str">
        <f t="shared" si="28"/>
        <v/>
      </c>
      <c r="H427" s="236" t="str">
        <f t="shared" si="29"/>
        <v/>
      </c>
      <c r="I427" s="237"/>
    </row>
    <row r="428" spans="1:9">
      <c r="A428" s="232">
        <f t="shared" si="26"/>
        <v>426</v>
      </c>
      <c r="B428" s="233">
        <v>45870</v>
      </c>
      <c r="C428" s="234">
        <v>192.73982500000002</v>
      </c>
      <c r="D428" s="235">
        <v>185.69615427437537</v>
      </c>
      <c r="E428" s="234">
        <f t="shared" si="27"/>
        <v>185.69615427437537</v>
      </c>
      <c r="F428" s="237"/>
      <c r="G428" s="188" t="str">
        <f t="shared" si="28"/>
        <v/>
      </c>
      <c r="H428" s="236" t="str">
        <f t="shared" si="29"/>
        <v/>
      </c>
      <c r="I428" s="237"/>
    </row>
    <row r="429" spans="1:9">
      <c r="A429" s="232">
        <f t="shared" si="26"/>
        <v>427</v>
      </c>
      <c r="B429" s="233">
        <v>45871</v>
      </c>
      <c r="C429" s="234">
        <v>192.85735499999998</v>
      </c>
      <c r="D429" s="235">
        <v>185.69615427437537</v>
      </c>
      <c r="E429" s="234">
        <f t="shared" si="27"/>
        <v>185.69615427437537</v>
      </c>
      <c r="F429" s="237"/>
      <c r="G429" s="188" t="str">
        <f t="shared" si="28"/>
        <v/>
      </c>
      <c r="H429" s="236" t="str">
        <f t="shared" si="29"/>
        <v/>
      </c>
      <c r="I429" s="237"/>
    </row>
    <row r="430" spans="1:9">
      <c r="A430" s="232">
        <f t="shared" si="26"/>
        <v>428</v>
      </c>
      <c r="B430" s="233">
        <v>45872</v>
      </c>
      <c r="C430" s="234">
        <v>173.80855499999998</v>
      </c>
      <c r="D430" s="235">
        <v>185.69615427437537</v>
      </c>
      <c r="E430" s="234">
        <f t="shared" si="27"/>
        <v>173.80855499999998</v>
      </c>
      <c r="F430" s="239"/>
      <c r="G430" s="188" t="str">
        <f t="shared" si="28"/>
        <v/>
      </c>
      <c r="H430" s="236" t="str">
        <f t="shared" si="29"/>
        <v/>
      </c>
      <c r="I430" s="237"/>
    </row>
    <row r="431" spans="1:9">
      <c r="A431" s="232">
        <f t="shared" si="26"/>
        <v>429</v>
      </c>
      <c r="B431" s="233">
        <v>45873</v>
      </c>
      <c r="C431" s="234">
        <v>216.08949200000001</v>
      </c>
      <c r="D431" s="235">
        <v>185.69615427437537</v>
      </c>
      <c r="E431" s="234">
        <f t="shared" si="27"/>
        <v>185.69615427437537</v>
      </c>
      <c r="F431" s="239"/>
      <c r="G431" s="188" t="str">
        <f t="shared" si="28"/>
        <v/>
      </c>
      <c r="H431" s="236" t="str">
        <f t="shared" si="29"/>
        <v/>
      </c>
      <c r="I431" s="237"/>
    </row>
    <row r="432" spans="1:9">
      <c r="A432" s="232">
        <f t="shared" si="26"/>
        <v>430</v>
      </c>
      <c r="B432" s="233">
        <v>45874</v>
      </c>
      <c r="C432" s="234">
        <v>198.616863</v>
      </c>
      <c r="D432" s="235">
        <v>185.69615427437537</v>
      </c>
      <c r="E432" s="234">
        <f t="shared" si="27"/>
        <v>185.69615427437537</v>
      </c>
      <c r="F432" s="239"/>
      <c r="G432" s="188" t="str">
        <f t="shared" si="28"/>
        <v/>
      </c>
      <c r="H432" s="236" t="str">
        <f t="shared" si="29"/>
        <v/>
      </c>
      <c r="I432" s="237"/>
    </row>
    <row r="433" spans="1:9">
      <c r="A433" s="232">
        <f t="shared" si="26"/>
        <v>431</v>
      </c>
      <c r="B433" s="233">
        <v>45875</v>
      </c>
      <c r="C433" s="234">
        <v>208.64136899999997</v>
      </c>
      <c r="D433" s="235">
        <v>185.69615427437537</v>
      </c>
      <c r="E433" s="234">
        <f t="shared" si="27"/>
        <v>185.69615427437537</v>
      </c>
      <c r="F433" s="239"/>
      <c r="G433" s="188" t="str">
        <f t="shared" si="28"/>
        <v/>
      </c>
      <c r="H433" s="236" t="str">
        <f t="shared" si="29"/>
        <v/>
      </c>
      <c r="I433" s="237"/>
    </row>
    <row r="434" spans="1:9">
      <c r="A434" s="232">
        <f t="shared" si="26"/>
        <v>432</v>
      </c>
      <c r="B434" s="233">
        <v>45876</v>
      </c>
      <c r="C434" s="234">
        <v>225.661993</v>
      </c>
      <c r="D434" s="235">
        <v>185.69615427437537</v>
      </c>
      <c r="E434" s="234">
        <f t="shared" si="27"/>
        <v>185.69615427437537</v>
      </c>
      <c r="F434" s="239"/>
      <c r="G434" s="188" t="str">
        <f t="shared" si="28"/>
        <v/>
      </c>
      <c r="H434" s="236" t="str">
        <f t="shared" si="29"/>
        <v/>
      </c>
      <c r="I434" s="237"/>
    </row>
    <row r="435" spans="1:9">
      <c r="A435" s="232">
        <f t="shared" si="26"/>
        <v>433</v>
      </c>
      <c r="B435" s="233">
        <v>45877</v>
      </c>
      <c r="C435" s="234">
        <v>206.69524299999998</v>
      </c>
      <c r="D435" s="235">
        <v>185.69615427437537</v>
      </c>
      <c r="E435" s="234">
        <f t="shared" si="27"/>
        <v>185.69615427437537</v>
      </c>
      <c r="F435" s="239"/>
      <c r="G435" s="188" t="str">
        <f t="shared" si="28"/>
        <v/>
      </c>
      <c r="H435" s="236" t="str">
        <f t="shared" si="29"/>
        <v/>
      </c>
      <c r="I435" s="237"/>
    </row>
    <row r="436" spans="1:9">
      <c r="A436" s="232">
        <f t="shared" si="26"/>
        <v>434</v>
      </c>
      <c r="B436" s="233">
        <v>45878</v>
      </c>
      <c r="C436" s="234">
        <v>203.42588899999998</v>
      </c>
      <c r="D436" s="235">
        <v>185.69615427437537</v>
      </c>
      <c r="E436" s="234">
        <f t="shared" si="27"/>
        <v>185.69615427437537</v>
      </c>
      <c r="F436" s="239"/>
      <c r="G436" s="188" t="str">
        <f t="shared" si="28"/>
        <v/>
      </c>
      <c r="H436" s="236" t="str">
        <f t="shared" si="29"/>
        <v/>
      </c>
      <c r="I436" s="237"/>
    </row>
    <row r="437" spans="1:9">
      <c r="A437" s="232">
        <f t="shared" si="26"/>
        <v>435</v>
      </c>
      <c r="B437" s="233">
        <v>45879</v>
      </c>
      <c r="C437" s="234">
        <v>181.830702</v>
      </c>
      <c r="D437" s="235">
        <v>185.69615427437537</v>
      </c>
      <c r="E437" s="234">
        <f t="shared" si="27"/>
        <v>181.830702</v>
      </c>
      <c r="F437" s="239"/>
      <c r="G437" s="188" t="str">
        <f t="shared" si="28"/>
        <v/>
      </c>
      <c r="H437" s="236" t="str">
        <f t="shared" si="29"/>
        <v/>
      </c>
      <c r="I437" s="237"/>
    </row>
    <row r="438" spans="1:9">
      <c r="A438" s="232">
        <f t="shared" si="26"/>
        <v>436</v>
      </c>
      <c r="B438" s="233">
        <v>45880</v>
      </c>
      <c r="C438" s="234">
        <v>217.90969000000001</v>
      </c>
      <c r="D438" s="235">
        <v>185.69615427437537</v>
      </c>
      <c r="E438" s="234">
        <f t="shared" si="27"/>
        <v>185.69615427437537</v>
      </c>
      <c r="F438" s="239"/>
      <c r="G438" s="188" t="str">
        <f t="shared" si="28"/>
        <v/>
      </c>
      <c r="H438" s="236" t="str">
        <f t="shared" si="29"/>
        <v/>
      </c>
      <c r="I438" s="237"/>
    </row>
    <row r="439" spans="1:9">
      <c r="A439" s="232">
        <f t="shared" si="26"/>
        <v>437</v>
      </c>
      <c r="B439" s="233">
        <v>45881</v>
      </c>
      <c r="C439" s="234">
        <v>183.32151199999998</v>
      </c>
      <c r="D439" s="235">
        <v>185.69615427437537</v>
      </c>
      <c r="E439" s="234">
        <f t="shared" si="27"/>
        <v>183.32151199999998</v>
      </c>
      <c r="F439" s="239"/>
      <c r="G439" s="188" t="str">
        <f t="shared" si="28"/>
        <v/>
      </c>
      <c r="H439" s="236" t="str">
        <f t="shared" si="29"/>
        <v/>
      </c>
      <c r="I439" s="237"/>
    </row>
    <row r="440" spans="1:9">
      <c r="A440" s="232">
        <f t="shared" si="26"/>
        <v>438</v>
      </c>
      <c r="B440" s="233">
        <v>45882</v>
      </c>
      <c r="C440" s="234">
        <v>176.47239999999999</v>
      </c>
      <c r="D440" s="235">
        <v>185.69615427437537</v>
      </c>
      <c r="E440" s="234">
        <f t="shared" si="27"/>
        <v>176.47239999999999</v>
      </c>
      <c r="F440" s="239"/>
      <c r="G440" s="188" t="str">
        <f t="shared" si="28"/>
        <v/>
      </c>
      <c r="H440" s="236" t="str">
        <f t="shared" si="29"/>
        <v/>
      </c>
      <c r="I440" s="237"/>
    </row>
    <row r="441" spans="1:9">
      <c r="A441" s="232">
        <f t="shared" si="26"/>
        <v>439</v>
      </c>
      <c r="B441" s="233">
        <v>45883</v>
      </c>
      <c r="C441" s="234">
        <v>191.79707500000001</v>
      </c>
      <c r="D441" s="235">
        <v>185.69615427437537</v>
      </c>
      <c r="E441" s="234">
        <f t="shared" si="27"/>
        <v>185.69615427437537</v>
      </c>
      <c r="F441" s="239"/>
      <c r="G441" s="188" t="str">
        <f t="shared" si="28"/>
        <v/>
      </c>
      <c r="H441" s="236" t="str">
        <f t="shared" si="29"/>
        <v/>
      </c>
      <c r="I441" s="237"/>
    </row>
    <row r="442" spans="1:9">
      <c r="A442" s="232">
        <f t="shared" si="26"/>
        <v>440</v>
      </c>
      <c r="B442" s="233">
        <v>45884</v>
      </c>
      <c r="C442" s="234">
        <v>211.56767300000001</v>
      </c>
      <c r="D442" s="235">
        <v>185.69615427437537</v>
      </c>
      <c r="E442" s="234">
        <f t="shared" si="27"/>
        <v>185.69615427437537</v>
      </c>
      <c r="F442" s="239"/>
      <c r="G442" s="188" t="str">
        <f t="shared" si="28"/>
        <v>A</v>
      </c>
      <c r="H442" s="236" t="str">
        <f t="shared" si="29"/>
        <v>185,7</v>
      </c>
      <c r="I442" s="237"/>
    </row>
    <row r="443" spans="1:9">
      <c r="A443" s="232">
        <f t="shared" si="26"/>
        <v>441</v>
      </c>
      <c r="B443" s="233">
        <v>45885</v>
      </c>
      <c r="C443" s="234">
        <v>198.77954199999999</v>
      </c>
      <c r="D443" s="235">
        <v>185.69615427437537</v>
      </c>
      <c r="E443" s="234">
        <f t="shared" si="27"/>
        <v>185.69615427437537</v>
      </c>
      <c r="F443" s="239"/>
      <c r="G443" s="188" t="str">
        <f t="shared" si="28"/>
        <v/>
      </c>
      <c r="H443" s="236" t="str">
        <f t="shared" si="29"/>
        <v/>
      </c>
      <c r="I443" s="237"/>
    </row>
    <row r="444" spans="1:9">
      <c r="A444" s="232">
        <f t="shared" si="26"/>
        <v>442</v>
      </c>
      <c r="B444" s="233">
        <v>45886</v>
      </c>
      <c r="C444" s="234">
        <v>180.096622</v>
      </c>
      <c r="D444" s="235">
        <v>185.69615427437537</v>
      </c>
      <c r="E444" s="234">
        <f t="shared" si="27"/>
        <v>180.096622</v>
      </c>
      <c r="F444" s="239"/>
      <c r="G444" s="188" t="str">
        <f t="shared" si="28"/>
        <v/>
      </c>
      <c r="H444" s="236" t="str">
        <f t="shared" si="29"/>
        <v/>
      </c>
      <c r="I444" s="237"/>
    </row>
    <row r="445" spans="1:9">
      <c r="A445" s="232">
        <f t="shared" si="26"/>
        <v>443</v>
      </c>
      <c r="B445" s="233">
        <v>45887</v>
      </c>
      <c r="C445" s="234">
        <v>146.56738099999998</v>
      </c>
      <c r="D445" s="235">
        <v>185.69615427437537</v>
      </c>
      <c r="E445" s="234">
        <f t="shared" si="27"/>
        <v>146.56738099999998</v>
      </c>
      <c r="F445" s="239"/>
      <c r="G445" s="188" t="str">
        <f t="shared" si="28"/>
        <v/>
      </c>
      <c r="H445" s="236" t="str">
        <f t="shared" si="29"/>
        <v/>
      </c>
      <c r="I445" s="237"/>
    </row>
    <row r="446" spans="1:9">
      <c r="A446" s="232">
        <f t="shared" si="26"/>
        <v>444</v>
      </c>
      <c r="B446" s="233">
        <v>45888</v>
      </c>
      <c r="C446" s="234">
        <v>184.230538</v>
      </c>
      <c r="D446" s="235">
        <v>185.69615427437537</v>
      </c>
      <c r="E446" s="234">
        <f t="shared" si="27"/>
        <v>184.230538</v>
      </c>
      <c r="F446" s="239"/>
      <c r="G446" s="188" t="str">
        <f t="shared" si="28"/>
        <v/>
      </c>
      <c r="H446" s="236" t="str">
        <f t="shared" si="29"/>
        <v/>
      </c>
      <c r="I446" s="237"/>
    </row>
    <row r="447" spans="1:9">
      <c r="A447" s="232">
        <f t="shared" si="26"/>
        <v>445</v>
      </c>
      <c r="B447" s="233">
        <v>45889</v>
      </c>
      <c r="C447" s="234">
        <v>177.20656699999998</v>
      </c>
      <c r="D447" s="235">
        <v>185.69615427437537</v>
      </c>
      <c r="E447" s="234">
        <f t="shared" si="27"/>
        <v>177.20656699999998</v>
      </c>
      <c r="F447" s="239"/>
      <c r="G447" s="188" t="str">
        <f t="shared" si="28"/>
        <v/>
      </c>
      <c r="H447" s="236" t="str">
        <f t="shared" si="29"/>
        <v/>
      </c>
      <c r="I447" s="237"/>
    </row>
    <row r="448" spans="1:9">
      <c r="A448" s="232">
        <f t="shared" si="26"/>
        <v>446</v>
      </c>
      <c r="B448" s="233">
        <v>45890</v>
      </c>
      <c r="C448" s="234">
        <v>196.76837700000002</v>
      </c>
      <c r="D448" s="235">
        <v>185.69615427437537</v>
      </c>
      <c r="E448" s="234">
        <f t="shared" si="27"/>
        <v>185.69615427437537</v>
      </c>
      <c r="F448" s="239"/>
      <c r="G448" s="188" t="str">
        <f t="shared" si="28"/>
        <v/>
      </c>
      <c r="H448" s="236" t="str">
        <f t="shared" si="29"/>
        <v/>
      </c>
      <c r="I448" s="237"/>
    </row>
    <row r="449" spans="1:9">
      <c r="A449" s="232">
        <f t="shared" si="26"/>
        <v>447</v>
      </c>
      <c r="B449" s="233">
        <v>45891</v>
      </c>
      <c r="C449" s="234">
        <v>191.248976</v>
      </c>
      <c r="D449" s="235">
        <v>185.69615427437537</v>
      </c>
      <c r="E449" s="234">
        <f t="shared" si="27"/>
        <v>185.69615427437537</v>
      </c>
      <c r="F449" s="239"/>
      <c r="G449" s="188" t="str">
        <f t="shared" si="28"/>
        <v/>
      </c>
      <c r="H449" s="236" t="str">
        <f t="shared" si="29"/>
        <v/>
      </c>
      <c r="I449" s="237"/>
    </row>
    <row r="450" spans="1:9">
      <c r="A450" s="232">
        <f t="shared" si="26"/>
        <v>448</v>
      </c>
      <c r="B450" s="233">
        <v>45892</v>
      </c>
      <c r="C450" s="234">
        <v>197.11709299999998</v>
      </c>
      <c r="D450" s="235">
        <v>185.69615427437537</v>
      </c>
      <c r="E450" s="234">
        <f t="shared" si="27"/>
        <v>185.69615427437537</v>
      </c>
      <c r="F450" s="239"/>
      <c r="G450" s="188" t="str">
        <f t="shared" si="28"/>
        <v/>
      </c>
      <c r="H450" s="236" t="str">
        <f t="shared" si="29"/>
        <v/>
      </c>
      <c r="I450" s="237"/>
    </row>
    <row r="451" spans="1:9">
      <c r="A451" s="232">
        <f t="shared" si="26"/>
        <v>449</v>
      </c>
      <c r="B451" s="233">
        <v>45893</v>
      </c>
      <c r="C451" s="234">
        <v>164.38130699999999</v>
      </c>
      <c r="D451" s="235">
        <v>185.69615427437537</v>
      </c>
      <c r="E451" s="234">
        <f t="shared" si="27"/>
        <v>164.38130699999999</v>
      </c>
      <c r="F451" s="239"/>
      <c r="G451" s="188" t="str">
        <f t="shared" si="28"/>
        <v/>
      </c>
      <c r="H451" s="236" t="str">
        <f t="shared" si="29"/>
        <v/>
      </c>
      <c r="I451" s="237"/>
    </row>
    <row r="452" spans="1:9">
      <c r="A452" s="232">
        <f t="shared" ref="A452:A515" si="30">+A451+1</f>
        <v>450</v>
      </c>
      <c r="B452" s="233">
        <v>45894</v>
      </c>
      <c r="C452" s="234">
        <v>168.43367900000001</v>
      </c>
      <c r="D452" s="235">
        <v>185.69615427437537</v>
      </c>
      <c r="E452" s="234">
        <f t="shared" ref="E452:E515" si="31">IF(C452&gt;D452,D452,C452)</f>
        <v>168.43367900000001</v>
      </c>
      <c r="F452" s="239"/>
      <c r="G452" s="188" t="str">
        <f t="shared" ref="G452:G515" si="32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  <c r="H452" s="236" t="str">
        <f t="shared" ref="H452:H515" si="33">IF(DAY($B452)=15,TEXT(D452,"#,0"),"")</f>
        <v/>
      </c>
      <c r="I452" s="237"/>
    </row>
    <row r="453" spans="1:9">
      <c r="A453" s="232">
        <f t="shared" si="30"/>
        <v>451</v>
      </c>
      <c r="B453" s="233">
        <v>45895</v>
      </c>
      <c r="C453" s="234">
        <v>173.51446600000003</v>
      </c>
      <c r="D453" s="235">
        <v>185.69615427437537</v>
      </c>
      <c r="E453" s="234">
        <f t="shared" si="31"/>
        <v>173.51446600000003</v>
      </c>
      <c r="F453" s="239"/>
      <c r="G453" s="188" t="str">
        <f t="shared" si="32"/>
        <v/>
      </c>
      <c r="H453" s="236" t="str">
        <f t="shared" si="33"/>
        <v/>
      </c>
      <c r="I453" s="237"/>
    </row>
    <row r="454" spans="1:9">
      <c r="A454" s="232">
        <f t="shared" si="30"/>
        <v>452</v>
      </c>
      <c r="B454" s="233">
        <v>45896</v>
      </c>
      <c r="C454" s="234">
        <v>176.607392</v>
      </c>
      <c r="D454" s="235">
        <v>185.69615427437537</v>
      </c>
      <c r="E454" s="234">
        <f t="shared" si="31"/>
        <v>176.607392</v>
      </c>
      <c r="F454" s="239"/>
      <c r="G454" s="188" t="str">
        <f t="shared" si="32"/>
        <v/>
      </c>
      <c r="H454" s="236" t="str">
        <f t="shared" si="33"/>
        <v/>
      </c>
      <c r="I454" s="237"/>
    </row>
    <row r="455" spans="1:9">
      <c r="A455" s="232">
        <f t="shared" si="30"/>
        <v>453</v>
      </c>
      <c r="B455" s="233">
        <v>45897</v>
      </c>
      <c r="C455" s="234">
        <v>172.36410799999999</v>
      </c>
      <c r="D455" s="235">
        <v>185.69615427437537</v>
      </c>
      <c r="E455" s="234">
        <f t="shared" si="31"/>
        <v>172.36410799999999</v>
      </c>
      <c r="F455" s="239"/>
      <c r="G455" s="188" t="str">
        <f t="shared" si="32"/>
        <v/>
      </c>
      <c r="H455" s="236" t="str">
        <f t="shared" si="33"/>
        <v/>
      </c>
      <c r="I455" s="237"/>
    </row>
    <row r="456" spans="1:9">
      <c r="A456" s="232">
        <f t="shared" si="30"/>
        <v>454</v>
      </c>
      <c r="B456" s="233">
        <v>45898</v>
      </c>
      <c r="C456" s="234">
        <v>164.84451700000002</v>
      </c>
      <c r="D456" s="235">
        <v>185.69615427437537</v>
      </c>
      <c r="E456" s="234">
        <f t="shared" si="31"/>
        <v>164.84451700000002</v>
      </c>
      <c r="F456" s="239"/>
      <c r="G456" s="188" t="str">
        <f t="shared" si="32"/>
        <v/>
      </c>
      <c r="H456" s="236" t="str">
        <f t="shared" si="33"/>
        <v/>
      </c>
      <c r="I456" s="237"/>
    </row>
    <row r="457" spans="1:9">
      <c r="A457" s="232">
        <f t="shared" si="30"/>
        <v>455</v>
      </c>
      <c r="B457" s="233">
        <v>45899</v>
      </c>
      <c r="C457" s="234">
        <v>186.429644</v>
      </c>
      <c r="D457" s="235">
        <v>185.69615427437537</v>
      </c>
      <c r="E457" s="234">
        <f t="shared" si="31"/>
        <v>185.69615427437537</v>
      </c>
      <c r="F457" s="239"/>
      <c r="G457" s="188" t="str">
        <f t="shared" si="32"/>
        <v/>
      </c>
      <c r="H457" s="236" t="str">
        <f t="shared" si="33"/>
        <v/>
      </c>
      <c r="I457" s="237"/>
    </row>
    <row r="458" spans="1:9">
      <c r="A458" s="232">
        <f t="shared" si="30"/>
        <v>456</v>
      </c>
      <c r="B458" s="233">
        <v>45900</v>
      </c>
      <c r="C458" s="234">
        <v>139.358261</v>
      </c>
      <c r="D458" s="235">
        <v>185.69615427437537</v>
      </c>
      <c r="E458" s="234">
        <f t="shared" si="31"/>
        <v>139.358261</v>
      </c>
      <c r="F458" s="239"/>
      <c r="G458" s="188" t="str">
        <f t="shared" si="32"/>
        <v/>
      </c>
      <c r="H458" s="236" t="str">
        <f t="shared" si="33"/>
        <v/>
      </c>
      <c r="I458" s="237"/>
    </row>
    <row r="459" spans="1:9">
      <c r="A459" s="232">
        <f t="shared" si="30"/>
        <v>457</v>
      </c>
      <c r="B459" s="233">
        <v>45901</v>
      </c>
      <c r="C459" s="234">
        <v>181.31371600000003</v>
      </c>
      <c r="D459" s="235">
        <v>157.81226091141519</v>
      </c>
      <c r="E459" s="234">
        <f t="shared" si="31"/>
        <v>157.81226091141519</v>
      </c>
      <c r="F459" s="237"/>
      <c r="G459" s="188" t="str">
        <f t="shared" si="32"/>
        <v/>
      </c>
      <c r="H459" s="236" t="str">
        <f t="shared" si="33"/>
        <v/>
      </c>
      <c r="I459" s="237"/>
    </row>
    <row r="460" spans="1:9">
      <c r="A460" s="232">
        <f t="shared" si="30"/>
        <v>458</v>
      </c>
      <c r="B460" s="233">
        <v>45902</v>
      </c>
      <c r="C460" s="234">
        <v>176.54945699999999</v>
      </c>
      <c r="D460" s="235">
        <v>157.81226091141519</v>
      </c>
      <c r="E460" s="234">
        <f t="shared" si="31"/>
        <v>157.81226091141519</v>
      </c>
      <c r="F460" s="237"/>
      <c r="G460" s="188" t="str">
        <f t="shared" si="32"/>
        <v/>
      </c>
      <c r="H460" s="236" t="str">
        <f t="shared" si="33"/>
        <v/>
      </c>
      <c r="I460" s="237"/>
    </row>
    <row r="461" spans="1:9">
      <c r="A461" s="232">
        <f t="shared" si="30"/>
        <v>459</v>
      </c>
      <c r="B461" s="233">
        <v>45903</v>
      </c>
      <c r="C461" s="234">
        <v>184.89145799999997</v>
      </c>
      <c r="D461" s="235">
        <v>157.81226091141519</v>
      </c>
      <c r="E461" s="234">
        <f t="shared" si="31"/>
        <v>157.81226091141519</v>
      </c>
      <c r="F461" s="239"/>
      <c r="G461" s="188" t="str">
        <f t="shared" si="32"/>
        <v/>
      </c>
      <c r="H461" s="236" t="str">
        <f t="shared" si="33"/>
        <v/>
      </c>
      <c r="I461" s="237"/>
    </row>
    <row r="462" spans="1:9">
      <c r="A462" s="232">
        <f t="shared" si="30"/>
        <v>460</v>
      </c>
      <c r="B462" s="233">
        <v>45904</v>
      </c>
      <c r="C462" s="234">
        <v>194.583315</v>
      </c>
      <c r="D462" s="235">
        <v>157.81226091141519</v>
      </c>
      <c r="E462" s="234">
        <f t="shared" si="31"/>
        <v>157.81226091141519</v>
      </c>
      <c r="F462" s="239"/>
      <c r="G462" s="188" t="str">
        <f t="shared" si="32"/>
        <v/>
      </c>
      <c r="H462" s="236" t="str">
        <f t="shared" si="33"/>
        <v/>
      </c>
      <c r="I462" s="237"/>
    </row>
    <row r="463" spans="1:9">
      <c r="A463" s="232">
        <f t="shared" si="30"/>
        <v>461</v>
      </c>
      <c r="B463" s="233">
        <v>45905</v>
      </c>
      <c r="C463" s="234">
        <v>181.95310499999999</v>
      </c>
      <c r="D463" s="235">
        <v>157.81226091141519</v>
      </c>
      <c r="E463" s="234">
        <f t="shared" si="31"/>
        <v>157.81226091141519</v>
      </c>
      <c r="F463" s="239"/>
      <c r="G463" s="188" t="str">
        <f t="shared" si="32"/>
        <v/>
      </c>
      <c r="H463" s="236" t="str">
        <f t="shared" si="33"/>
        <v/>
      </c>
      <c r="I463" s="237"/>
    </row>
    <row r="464" spans="1:9">
      <c r="A464" s="232">
        <f t="shared" si="30"/>
        <v>462</v>
      </c>
      <c r="B464" s="233">
        <v>45906</v>
      </c>
      <c r="C464" s="234">
        <v>146.76433900000001</v>
      </c>
      <c r="D464" s="235">
        <v>157.81226091141519</v>
      </c>
      <c r="E464" s="234">
        <f t="shared" si="31"/>
        <v>146.76433900000001</v>
      </c>
      <c r="F464" s="239"/>
      <c r="G464" s="188" t="str">
        <f t="shared" si="32"/>
        <v/>
      </c>
      <c r="H464" s="236" t="str">
        <f t="shared" si="33"/>
        <v/>
      </c>
      <c r="I464" s="237"/>
    </row>
    <row r="465" spans="1:9">
      <c r="A465" s="232">
        <f t="shared" si="30"/>
        <v>463</v>
      </c>
      <c r="B465" s="233">
        <v>45907</v>
      </c>
      <c r="C465" s="234">
        <v>118.585453</v>
      </c>
      <c r="D465" s="235">
        <v>157.81226091141519</v>
      </c>
      <c r="E465" s="234">
        <f t="shared" si="31"/>
        <v>118.585453</v>
      </c>
      <c r="F465" s="239"/>
      <c r="G465" s="188" t="str">
        <f t="shared" si="32"/>
        <v/>
      </c>
      <c r="H465" s="236" t="str">
        <f t="shared" si="33"/>
        <v/>
      </c>
      <c r="I465" s="237"/>
    </row>
    <row r="466" spans="1:9">
      <c r="A466" s="232">
        <f t="shared" si="30"/>
        <v>464</v>
      </c>
      <c r="B466" s="233">
        <v>45908</v>
      </c>
      <c r="C466" s="234">
        <v>168.74678399999999</v>
      </c>
      <c r="D466" s="235">
        <v>157.81226091141519</v>
      </c>
      <c r="E466" s="234">
        <f t="shared" si="31"/>
        <v>157.81226091141519</v>
      </c>
      <c r="F466" s="239"/>
      <c r="G466" s="188" t="str">
        <f t="shared" si="32"/>
        <v/>
      </c>
      <c r="H466" s="236" t="str">
        <f t="shared" si="33"/>
        <v/>
      </c>
      <c r="I466" s="237"/>
    </row>
    <row r="467" spans="1:9">
      <c r="A467" s="232">
        <f t="shared" si="30"/>
        <v>465</v>
      </c>
      <c r="B467" s="233">
        <v>45909</v>
      </c>
      <c r="C467" s="234">
        <v>178.57379800000001</v>
      </c>
      <c r="D467" s="235">
        <v>157.81226091141519</v>
      </c>
      <c r="E467" s="234">
        <f t="shared" si="31"/>
        <v>157.81226091141519</v>
      </c>
      <c r="F467" s="239"/>
      <c r="G467" s="188" t="str">
        <f t="shared" si="32"/>
        <v/>
      </c>
      <c r="H467" s="236" t="str">
        <f t="shared" si="33"/>
        <v/>
      </c>
      <c r="I467" s="237"/>
    </row>
    <row r="468" spans="1:9">
      <c r="A468" s="232">
        <f t="shared" si="30"/>
        <v>466</v>
      </c>
      <c r="B468" s="233">
        <v>45910</v>
      </c>
      <c r="C468" s="234">
        <v>149.26733199999998</v>
      </c>
      <c r="D468" s="235">
        <v>157.81226091141519</v>
      </c>
      <c r="E468" s="234">
        <f t="shared" si="31"/>
        <v>149.26733199999998</v>
      </c>
      <c r="F468" s="239"/>
      <c r="G468" s="188" t="str">
        <f t="shared" si="32"/>
        <v/>
      </c>
      <c r="H468" s="236" t="str">
        <f t="shared" si="33"/>
        <v/>
      </c>
      <c r="I468" s="237"/>
    </row>
    <row r="469" spans="1:9">
      <c r="A469" s="232">
        <f t="shared" si="30"/>
        <v>467</v>
      </c>
      <c r="B469" s="233">
        <v>45911</v>
      </c>
      <c r="C469" s="234">
        <v>178.85064700000001</v>
      </c>
      <c r="D469" s="235">
        <v>157.81226091141519</v>
      </c>
      <c r="E469" s="234">
        <f t="shared" si="31"/>
        <v>157.81226091141519</v>
      </c>
      <c r="F469" s="239"/>
      <c r="G469" s="188" t="str">
        <f t="shared" si="32"/>
        <v/>
      </c>
      <c r="H469" s="236" t="str">
        <f t="shared" si="33"/>
        <v/>
      </c>
      <c r="I469" s="237"/>
    </row>
    <row r="470" spans="1:9">
      <c r="A470" s="232">
        <f t="shared" si="30"/>
        <v>468</v>
      </c>
      <c r="B470" s="233">
        <v>45912</v>
      </c>
      <c r="C470" s="234">
        <v>192.06283300000001</v>
      </c>
      <c r="D470" s="235">
        <v>157.81226091141519</v>
      </c>
      <c r="E470" s="234">
        <f t="shared" si="31"/>
        <v>157.81226091141519</v>
      </c>
      <c r="F470" s="239"/>
      <c r="G470" s="188" t="str">
        <f t="shared" si="32"/>
        <v/>
      </c>
      <c r="H470" s="236" t="str">
        <f t="shared" si="33"/>
        <v/>
      </c>
      <c r="I470" s="237"/>
    </row>
    <row r="471" spans="1:9">
      <c r="A471" s="232">
        <f t="shared" si="30"/>
        <v>469</v>
      </c>
      <c r="B471" s="233">
        <v>45913</v>
      </c>
      <c r="C471" s="234">
        <v>167.67022900000003</v>
      </c>
      <c r="D471" s="235">
        <v>157.81226091141519</v>
      </c>
      <c r="E471" s="234">
        <f t="shared" si="31"/>
        <v>157.81226091141519</v>
      </c>
      <c r="F471" s="239"/>
      <c r="G471" s="188" t="str">
        <f t="shared" si="32"/>
        <v/>
      </c>
      <c r="H471" s="236" t="str">
        <f t="shared" si="33"/>
        <v/>
      </c>
      <c r="I471" s="237"/>
    </row>
    <row r="472" spans="1:9">
      <c r="A472" s="232">
        <f t="shared" si="30"/>
        <v>470</v>
      </c>
      <c r="B472" s="233">
        <v>45914</v>
      </c>
      <c r="C472" s="234">
        <v>177.86704600000002</v>
      </c>
      <c r="D472" s="235">
        <v>157.81226091141519</v>
      </c>
      <c r="E472" s="234">
        <f t="shared" si="31"/>
        <v>157.81226091141519</v>
      </c>
      <c r="F472" s="239"/>
      <c r="G472" s="188" t="str">
        <f t="shared" si="32"/>
        <v/>
      </c>
      <c r="H472" s="236" t="str">
        <f t="shared" si="33"/>
        <v/>
      </c>
      <c r="I472" s="237"/>
    </row>
    <row r="473" spans="1:9">
      <c r="A473" s="232">
        <f t="shared" si="30"/>
        <v>471</v>
      </c>
      <c r="B473" s="233">
        <v>45915</v>
      </c>
      <c r="C473" s="234">
        <v>203.81659800000003</v>
      </c>
      <c r="D473" s="235">
        <v>157.81226091141519</v>
      </c>
      <c r="E473" s="234">
        <f t="shared" si="31"/>
        <v>157.81226091141519</v>
      </c>
      <c r="F473" s="239"/>
      <c r="G473" s="188" t="str">
        <f t="shared" si="32"/>
        <v>S</v>
      </c>
      <c r="H473" s="236" t="str">
        <f t="shared" si="33"/>
        <v>157,8</v>
      </c>
      <c r="I473" s="237"/>
    </row>
    <row r="474" spans="1:9">
      <c r="A474" s="232">
        <f t="shared" si="30"/>
        <v>472</v>
      </c>
      <c r="B474" s="233">
        <v>45916</v>
      </c>
      <c r="C474" s="234">
        <v>199.96324999999999</v>
      </c>
      <c r="D474" s="235">
        <v>157.81226091141519</v>
      </c>
      <c r="E474" s="234">
        <f t="shared" si="31"/>
        <v>157.81226091141519</v>
      </c>
      <c r="F474" s="239"/>
      <c r="G474" s="188" t="str">
        <f t="shared" si="32"/>
        <v/>
      </c>
      <c r="H474" s="236" t="str">
        <f t="shared" si="33"/>
        <v/>
      </c>
      <c r="I474" s="237"/>
    </row>
    <row r="475" spans="1:9">
      <c r="A475" s="232">
        <f t="shared" si="30"/>
        <v>473</v>
      </c>
      <c r="B475" s="233">
        <v>45917</v>
      </c>
      <c r="C475" s="234">
        <v>198.57262499999999</v>
      </c>
      <c r="D475" s="235">
        <v>157.81226091141519</v>
      </c>
      <c r="E475" s="234">
        <f t="shared" si="31"/>
        <v>157.81226091141519</v>
      </c>
      <c r="F475" s="239"/>
      <c r="G475" s="188" t="str">
        <f t="shared" si="32"/>
        <v/>
      </c>
      <c r="H475" s="236" t="str">
        <f t="shared" si="33"/>
        <v/>
      </c>
      <c r="I475" s="237"/>
    </row>
    <row r="476" spans="1:9">
      <c r="A476" s="232">
        <f t="shared" si="30"/>
        <v>474</v>
      </c>
      <c r="B476" s="233">
        <v>45918</v>
      </c>
      <c r="C476" s="234">
        <v>180.80308800000003</v>
      </c>
      <c r="D476" s="235">
        <v>157.81226091141519</v>
      </c>
      <c r="E476" s="234">
        <f t="shared" si="31"/>
        <v>157.81226091141519</v>
      </c>
      <c r="F476" s="239"/>
      <c r="G476" s="188" t="str">
        <f t="shared" si="32"/>
        <v/>
      </c>
      <c r="H476" s="236" t="str">
        <f t="shared" si="33"/>
        <v/>
      </c>
      <c r="I476" s="237"/>
    </row>
    <row r="477" spans="1:9">
      <c r="A477" s="232">
        <f t="shared" si="30"/>
        <v>475</v>
      </c>
      <c r="B477" s="233">
        <v>45919</v>
      </c>
      <c r="C477" s="234">
        <v>144.52778400000003</v>
      </c>
      <c r="D477" s="235">
        <v>157.81226091141519</v>
      </c>
      <c r="E477" s="234">
        <f t="shared" si="31"/>
        <v>144.52778400000003</v>
      </c>
      <c r="F477" s="239"/>
      <c r="G477" s="188" t="str">
        <f t="shared" si="32"/>
        <v/>
      </c>
      <c r="H477" s="236" t="str">
        <f t="shared" si="33"/>
        <v/>
      </c>
      <c r="I477" s="237"/>
    </row>
    <row r="478" spans="1:9">
      <c r="A478" s="232">
        <f t="shared" si="30"/>
        <v>476</v>
      </c>
      <c r="B478" s="233">
        <v>45920</v>
      </c>
      <c r="C478" s="234">
        <v>157.34828699999997</v>
      </c>
      <c r="D478" s="235">
        <v>157.81226091141519</v>
      </c>
      <c r="E478" s="234">
        <f t="shared" si="31"/>
        <v>157.34828699999997</v>
      </c>
      <c r="F478" s="239"/>
      <c r="G478" s="188" t="str">
        <f t="shared" si="32"/>
        <v/>
      </c>
      <c r="H478" s="236" t="str">
        <f t="shared" si="33"/>
        <v/>
      </c>
      <c r="I478" s="237"/>
    </row>
    <row r="479" spans="1:9">
      <c r="A479" s="232">
        <f t="shared" si="30"/>
        <v>477</v>
      </c>
      <c r="B479" s="233">
        <v>45921</v>
      </c>
      <c r="C479" s="234">
        <v>129.165359</v>
      </c>
      <c r="D479" s="235">
        <v>157.81226091141519</v>
      </c>
      <c r="E479" s="234">
        <f t="shared" si="31"/>
        <v>129.165359</v>
      </c>
      <c r="F479" s="239"/>
      <c r="G479" s="188" t="str">
        <f t="shared" si="32"/>
        <v/>
      </c>
      <c r="H479" s="236" t="str">
        <f t="shared" si="33"/>
        <v/>
      </c>
      <c r="I479" s="237"/>
    </row>
    <row r="480" spans="1:9">
      <c r="A480" s="232">
        <f t="shared" si="30"/>
        <v>478</v>
      </c>
      <c r="B480" s="233">
        <v>45922</v>
      </c>
      <c r="C480" s="234">
        <v>171.366152</v>
      </c>
      <c r="D480" s="235">
        <v>157.81226091141519</v>
      </c>
      <c r="E480" s="234">
        <f t="shared" si="31"/>
        <v>157.81226091141519</v>
      </c>
      <c r="F480" s="239"/>
      <c r="G480" s="188" t="str">
        <f t="shared" si="32"/>
        <v/>
      </c>
      <c r="H480" s="236" t="str">
        <f t="shared" si="33"/>
        <v/>
      </c>
      <c r="I480" s="237"/>
    </row>
    <row r="481" spans="1:9">
      <c r="A481" s="232">
        <f t="shared" si="30"/>
        <v>479</v>
      </c>
      <c r="B481" s="233">
        <v>45923</v>
      </c>
      <c r="C481" s="234">
        <v>163.95934099999999</v>
      </c>
      <c r="D481" s="235">
        <v>157.81226091141519</v>
      </c>
      <c r="E481" s="234">
        <f t="shared" si="31"/>
        <v>157.81226091141519</v>
      </c>
      <c r="F481" s="239"/>
      <c r="G481" s="188" t="str">
        <f t="shared" si="32"/>
        <v/>
      </c>
      <c r="H481" s="236" t="str">
        <f t="shared" si="33"/>
        <v/>
      </c>
      <c r="I481" s="237"/>
    </row>
    <row r="482" spans="1:9">
      <c r="A482" s="232">
        <f t="shared" si="30"/>
        <v>480</v>
      </c>
      <c r="B482" s="233">
        <v>45924</v>
      </c>
      <c r="C482" s="234">
        <v>165.85225</v>
      </c>
      <c r="D482" s="235">
        <v>157.81226091141519</v>
      </c>
      <c r="E482" s="234">
        <f t="shared" si="31"/>
        <v>157.81226091141519</v>
      </c>
      <c r="F482" s="239"/>
      <c r="G482" s="188" t="str">
        <f t="shared" si="32"/>
        <v/>
      </c>
      <c r="H482" s="236" t="str">
        <f t="shared" si="33"/>
        <v/>
      </c>
      <c r="I482" s="237"/>
    </row>
    <row r="483" spans="1:9">
      <c r="A483" s="232">
        <f t="shared" si="30"/>
        <v>481</v>
      </c>
      <c r="B483" s="233">
        <v>45925</v>
      </c>
      <c r="C483" s="234">
        <v>180.13614599999997</v>
      </c>
      <c r="D483" s="235">
        <v>157.81226091141519</v>
      </c>
      <c r="E483" s="234">
        <f t="shared" si="31"/>
        <v>157.81226091141519</v>
      </c>
      <c r="F483" s="239"/>
      <c r="G483" s="188" t="str">
        <f t="shared" si="32"/>
        <v/>
      </c>
      <c r="H483" s="236" t="str">
        <f t="shared" si="33"/>
        <v/>
      </c>
      <c r="I483" s="237"/>
    </row>
    <row r="484" spans="1:9">
      <c r="A484" s="232">
        <f t="shared" si="30"/>
        <v>482</v>
      </c>
      <c r="B484" s="233">
        <v>45926</v>
      </c>
      <c r="C484" s="234">
        <v>186.20021500000001</v>
      </c>
      <c r="D484" s="235">
        <v>157.81226091141519</v>
      </c>
      <c r="E484" s="234">
        <f t="shared" si="31"/>
        <v>157.81226091141519</v>
      </c>
      <c r="F484" s="239"/>
      <c r="G484" s="188" t="str">
        <f t="shared" si="32"/>
        <v/>
      </c>
      <c r="H484" s="236" t="str">
        <f t="shared" si="33"/>
        <v/>
      </c>
      <c r="I484" s="237"/>
    </row>
    <row r="485" spans="1:9">
      <c r="A485" s="232">
        <f t="shared" si="30"/>
        <v>483</v>
      </c>
      <c r="B485" s="233">
        <v>45927</v>
      </c>
      <c r="C485" s="234">
        <v>140.54074400000002</v>
      </c>
      <c r="D485" s="235">
        <v>157.81226091141519</v>
      </c>
      <c r="E485" s="234">
        <f t="shared" si="31"/>
        <v>140.54074400000002</v>
      </c>
      <c r="F485" s="239"/>
      <c r="G485" s="188" t="str">
        <f t="shared" si="32"/>
        <v/>
      </c>
      <c r="H485" s="236" t="str">
        <f t="shared" si="33"/>
        <v/>
      </c>
      <c r="I485" s="237"/>
    </row>
    <row r="486" spans="1:9">
      <c r="A486" s="232">
        <f t="shared" si="30"/>
        <v>484</v>
      </c>
      <c r="B486" s="233">
        <v>45928</v>
      </c>
      <c r="C486" s="234">
        <v>91.183129999999991</v>
      </c>
      <c r="D486" s="235">
        <v>157.81226091141519</v>
      </c>
      <c r="E486" s="234">
        <f t="shared" si="31"/>
        <v>91.183129999999991</v>
      </c>
      <c r="F486" s="239"/>
      <c r="G486" s="188" t="str">
        <f t="shared" si="32"/>
        <v/>
      </c>
      <c r="H486" s="236" t="str">
        <f t="shared" si="33"/>
        <v/>
      </c>
      <c r="I486" s="237"/>
    </row>
    <row r="487" spans="1:9">
      <c r="A487" s="232">
        <f t="shared" si="30"/>
        <v>485</v>
      </c>
      <c r="B487" s="233">
        <v>45929</v>
      </c>
      <c r="C487" s="234">
        <v>113.978723</v>
      </c>
      <c r="D487" s="235">
        <v>157.81226091141519</v>
      </c>
      <c r="E487" s="234">
        <f t="shared" si="31"/>
        <v>113.978723</v>
      </c>
      <c r="F487" s="239"/>
      <c r="G487" s="188" t="str">
        <f t="shared" si="32"/>
        <v/>
      </c>
      <c r="H487" s="236" t="str">
        <f t="shared" si="33"/>
        <v/>
      </c>
      <c r="I487" s="237"/>
    </row>
    <row r="488" spans="1:9">
      <c r="A488" s="232">
        <f t="shared" si="30"/>
        <v>486</v>
      </c>
      <c r="B488" s="233">
        <v>45930</v>
      </c>
      <c r="C488" s="234">
        <v>149.34829799999997</v>
      </c>
      <c r="D488" s="235">
        <v>157.81226091141519</v>
      </c>
      <c r="E488" s="234">
        <f t="shared" si="31"/>
        <v>149.34829799999997</v>
      </c>
      <c r="F488" s="239"/>
      <c r="G488" s="188" t="str">
        <f t="shared" si="32"/>
        <v/>
      </c>
      <c r="H488" s="236" t="str">
        <f t="shared" si="33"/>
        <v/>
      </c>
      <c r="I488" s="237"/>
    </row>
    <row r="489" spans="1:9">
      <c r="A489" s="232">
        <f t="shared" si="30"/>
        <v>487</v>
      </c>
      <c r="B489" s="233">
        <v>45931</v>
      </c>
      <c r="C489" s="234">
        <v>187.11326699999998</v>
      </c>
      <c r="D489" s="235">
        <v>120.54686636297106</v>
      </c>
      <c r="E489" s="234">
        <f t="shared" si="31"/>
        <v>120.54686636297106</v>
      </c>
      <c r="F489" s="237"/>
      <c r="G489" s="188" t="str">
        <f t="shared" si="32"/>
        <v/>
      </c>
      <c r="H489" s="236" t="str">
        <f t="shared" si="33"/>
        <v/>
      </c>
    </row>
    <row r="490" spans="1:9">
      <c r="A490" s="232">
        <f t="shared" si="30"/>
        <v>488</v>
      </c>
      <c r="B490" s="233">
        <v>45932</v>
      </c>
      <c r="C490" s="234">
        <v>186.16641300000001</v>
      </c>
      <c r="D490" s="235">
        <v>120.54686636297106</v>
      </c>
      <c r="E490" s="234">
        <f t="shared" si="31"/>
        <v>120.54686636297106</v>
      </c>
      <c r="F490" s="237"/>
      <c r="G490" s="188" t="str">
        <f t="shared" si="32"/>
        <v/>
      </c>
      <c r="H490" s="236" t="str">
        <f t="shared" si="33"/>
        <v/>
      </c>
    </row>
    <row r="491" spans="1:9">
      <c r="A491" s="232">
        <f t="shared" si="30"/>
        <v>489</v>
      </c>
      <c r="B491" s="233">
        <v>45933</v>
      </c>
      <c r="C491" s="234">
        <v>169.24731</v>
      </c>
      <c r="D491" s="235">
        <v>120.54686636297106</v>
      </c>
      <c r="E491" s="234">
        <f t="shared" si="31"/>
        <v>120.54686636297106</v>
      </c>
      <c r="F491" s="239"/>
      <c r="G491" s="188" t="str">
        <f t="shared" si="32"/>
        <v/>
      </c>
      <c r="H491" s="236" t="str">
        <f t="shared" si="33"/>
        <v/>
      </c>
    </row>
    <row r="492" spans="1:9">
      <c r="A492" s="232">
        <f t="shared" si="30"/>
        <v>490</v>
      </c>
      <c r="B492" s="233">
        <v>45934</v>
      </c>
      <c r="C492" s="234">
        <v>157.23645200000001</v>
      </c>
      <c r="D492" s="235">
        <v>120.54686636297106</v>
      </c>
      <c r="E492" s="234">
        <f t="shared" si="31"/>
        <v>120.54686636297106</v>
      </c>
      <c r="F492" s="239"/>
      <c r="G492" s="188" t="str">
        <f t="shared" si="32"/>
        <v/>
      </c>
      <c r="H492" s="236" t="str">
        <f t="shared" si="33"/>
        <v/>
      </c>
    </row>
    <row r="493" spans="1:9">
      <c r="A493" s="232">
        <f t="shared" si="30"/>
        <v>491</v>
      </c>
      <c r="B493" s="233">
        <v>45935</v>
      </c>
      <c r="C493" s="234">
        <v>126.829863</v>
      </c>
      <c r="D493" s="235">
        <v>120.54686636297106</v>
      </c>
      <c r="E493" s="234">
        <f t="shared" si="31"/>
        <v>120.54686636297106</v>
      </c>
      <c r="F493" s="239"/>
      <c r="G493" s="188" t="str">
        <f t="shared" si="32"/>
        <v/>
      </c>
      <c r="H493" s="236" t="str">
        <f t="shared" si="33"/>
        <v/>
      </c>
    </row>
    <row r="494" spans="1:9">
      <c r="A494" s="232">
        <f t="shared" si="30"/>
        <v>492</v>
      </c>
      <c r="B494" s="233">
        <v>45936</v>
      </c>
      <c r="C494" s="234">
        <v>158.044184</v>
      </c>
      <c r="D494" s="235">
        <v>120.54686636297106</v>
      </c>
      <c r="E494" s="234">
        <f t="shared" si="31"/>
        <v>120.54686636297106</v>
      </c>
      <c r="F494" s="239"/>
      <c r="G494" s="188" t="str">
        <f t="shared" si="32"/>
        <v/>
      </c>
      <c r="H494" s="236" t="str">
        <f t="shared" si="33"/>
        <v/>
      </c>
    </row>
    <row r="495" spans="1:9">
      <c r="A495" s="232">
        <f t="shared" si="30"/>
        <v>493</v>
      </c>
      <c r="B495" s="233">
        <v>45937</v>
      </c>
      <c r="C495" s="234">
        <v>169.02725099999998</v>
      </c>
      <c r="D495" s="235">
        <v>120.54686636297106</v>
      </c>
      <c r="E495" s="234">
        <f t="shared" si="31"/>
        <v>120.54686636297106</v>
      </c>
      <c r="F495" s="239"/>
      <c r="G495" s="188" t="str">
        <f t="shared" si="32"/>
        <v/>
      </c>
      <c r="H495" s="236" t="str">
        <f t="shared" si="33"/>
        <v/>
      </c>
    </row>
    <row r="496" spans="1:9">
      <c r="A496" s="232">
        <f t="shared" si="30"/>
        <v>494</v>
      </c>
      <c r="B496" s="233">
        <v>45938</v>
      </c>
      <c r="C496" s="234">
        <v>147.82780199999999</v>
      </c>
      <c r="D496" s="235">
        <v>120.54686636297106</v>
      </c>
      <c r="E496" s="234">
        <f t="shared" si="31"/>
        <v>120.54686636297106</v>
      </c>
      <c r="F496" s="239"/>
      <c r="G496" s="188" t="str">
        <f t="shared" si="32"/>
        <v/>
      </c>
      <c r="H496" s="236" t="str">
        <f t="shared" si="33"/>
        <v/>
      </c>
    </row>
    <row r="497" spans="1:8">
      <c r="A497" s="232">
        <f t="shared" si="30"/>
        <v>495</v>
      </c>
      <c r="B497" s="233">
        <v>45939</v>
      </c>
      <c r="C497" s="234">
        <v>137.37017</v>
      </c>
      <c r="D497" s="235">
        <v>120.54686636297106</v>
      </c>
      <c r="E497" s="234">
        <f t="shared" si="31"/>
        <v>120.54686636297106</v>
      </c>
      <c r="F497" s="239"/>
      <c r="G497" s="188" t="str">
        <f t="shared" si="32"/>
        <v/>
      </c>
      <c r="H497" s="236" t="str">
        <f t="shared" si="33"/>
        <v/>
      </c>
    </row>
    <row r="498" spans="1:8">
      <c r="A498" s="232">
        <f t="shared" si="30"/>
        <v>496</v>
      </c>
      <c r="B498" s="233">
        <v>45940</v>
      </c>
      <c r="C498" s="234">
        <v>132.49274199999999</v>
      </c>
      <c r="D498" s="235">
        <v>120.54686636297106</v>
      </c>
      <c r="E498" s="234">
        <f t="shared" si="31"/>
        <v>120.54686636297106</v>
      </c>
      <c r="F498" s="239"/>
      <c r="G498" s="188" t="str">
        <f t="shared" si="32"/>
        <v/>
      </c>
      <c r="H498" s="236" t="str">
        <f t="shared" si="33"/>
        <v/>
      </c>
    </row>
    <row r="499" spans="1:8">
      <c r="A499" s="232">
        <f t="shared" si="30"/>
        <v>497</v>
      </c>
      <c r="B499" s="233">
        <v>45941</v>
      </c>
      <c r="C499" s="234">
        <v>141.89169000000001</v>
      </c>
      <c r="D499" s="235">
        <v>120.54686636297106</v>
      </c>
      <c r="E499" s="234">
        <f t="shared" si="31"/>
        <v>120.54686636297106</v>
      </c>
      <c r="F499" s="239"/>
      <c r="G499" s="188" t="str">
        <f t="shared" si="32"/>
        <v/>
      </c>
      <c r="H499" s="236" t="str">
        <f t="shared" si="33"/>
        <v/>
      </c>
    </row>
    <row r="500" spans="1:8">
      <c r="A500" s="232">
        <f t="shared" si="30"/>
        <v>498</v>
      </c>
      <c r="B500" s="233">
        <v>45942</v>
      </c>
      <c r="C500" s="234">
        <v>124.21578100000001</v>
      </c>
      <c r="D500" s="235">
        <v>120.54686636297106</v>
      </c>
      <c r="E500" s="234">
        <f t="shared" si="31"/>
        <v>120.54686636297106</v>
      </c>
      <c r="F500" s="239"/>
      <c r="G500" s="188" t="str">
        <f t="shared" si="32"/>
        <v/>
      </c>
      <c r="H500" s="236" t="str">
        <f t="shared" si="33"/>
        <v/>
      </c>
    </row>
    <row r="501" spans="1:8">
      <c r="A501" s="232">
        <f t="shared" si="30"/>
        <v>499</v>
      </c>
      <c r="B501" s="233">
        <v>45943</v>
      </c>
      <c r="C501" s="234">
        <v>127.261904</v>
      </c>
      <c r="D501" s="235">
        <v>120.54686636297106</v>
      </c>
      <c r="E501" s="234">
        <f t="shared" si="31"/>
        <v>120.54686636297106</v>
      </c>
      <c r="F501" s="239"/>
      <c r="G501" s="188" t="str">
        <f t="shared" si="32"/>
        <v/>
      </c>
      <c r="H501" s="236" t="str">
        <f t="shared" si="33"/>
        <v/>
      </c>
    </row>
    <row r="502" spans="1:8">
      <c r="A502" s="232">
        <f t="shared" si="30"/>
        <v>500</v>
      </c>
      <c r="B502" s="233">
        <v>45944</v>
      </c>
      <c r="C502" s="234">
        <v>151.888938</v>
      </c>
      <c r="D502" s="235">
        <v>120.54686636297106</v>
      </c>
      <c r="E502" s="234">
        <f t="shared" si="31"/>
        <v>120.54686636297106</v>
      </c>
      <c r="F502" s="239"/>
      <c r="G502" s="188" t="str">
        <f t="shared" si="32"/>
        <v/>
      </c>
      <c r="H502" s="236" t="str">
        <f t="shared" si="33"/>
        <v/>
      </c>
    </row>
    <row r="503" spans="1:8">
      <c r="A503" s="232">
        <f t="shared" si="30"/>
        <v>501</v>
      </c>
      <c r="B503" s="233">
        <v>45945</v>
      </c>
      <c r="C503" s="234">
        <v>141.62708499999999</v>
      </c>
      <c r="D503" s="235">
        <v>120.54686636297106</v>
      </c>
      <c r="E503" s="234">
        <f t="shared" si="31"/>
        <v>120.54686636297106</v>
      </c>
      <c r="F503" s="239"/>
      <c r="G503" s="188" t="str">
        <f t="shared" si="32"/>
        <v>O</v>
      </c>
      <c r="H503" s="236" t="str">
        <f t="shared" si="33"/>
        <v>120,5</v>
      </c>
    </row>
    <row r="504" spans="1:8">
      <c r="A504" s="232">
        <f t="shared" si="30"/>
        <v>502</v>
      </c>
      <c r="B504" s="233">
        <v>45946</v>
      </c>
      <c r="C504" s="234">
        <v>123.13546700000001</v>
      </c>
      <c r="D504" s="235">
        <v>120.54686636297106</v>
      </c>
      <c r="E504" s="234">
        <f t="shared" si="31"/>
        <v>120.54686636297106</v>
      </c>
      <c r="F504" s="239"/>
      <c r="G504" s="188" t="str">
        <f t="shared" si="32"/>
        <v/>
      </c>
      <c r="H504" s="236" t="str">
        <f t="shared" si="33"/>
        <v/>
      </c>
    </row>
    <row r="505" spans="1:8">
      <c r="A505" s="232">
        <f t="shared" si="30"/>
        <v>503</v>
      </c>
      <c r="B505" s="233">
        <v>45947</v>
      </c>
      <c r="C505" s="234">
        <v>141.89029600000001</v>
      </c>
      <c r="D505" s="235">
        <v>120.54686636297106</v>
      </c>
      <c r="E505" s="234">
        <f t="shared" si="31"/>
        <v>120.54686636297106</v>
      </c>
      <c r="F505" s="239"/>
      <c r="G505" s="188" t="str">
        <f t="shared" si="32"/>
        <v/>
      </c>
      <c r="H505" s="236" t="str">
        <f t="shared" si="33"/>
        <v/>
      </c>
    </row>
    <row r="506" spans="1:8">
      <c r="A506" s="232">
        <f t="shared" si="30"/>
        <v>504</v>
      </c>
      <c r="B506" s="233">
        <v>45948</v>
      </c>
      <c r="C506" s="234">
        <v>149.16772400000002</v>
      </c>
      <c r="D506" s="235">
        <v>120.54686636297106</v>
      </c>
      <c r="E506" s="234">
        <f t="shared" si="31"/>
        <v>120.54686636297106</v>
      </c>
      <c r="F506" s="239"/>
      <c r="G506" s="188" t="str">
        <f t="shared" si="32"/>
        <v/>
      </c>
      <c r="H506" s="236" t="str">
        <f t="shared" si="33"/>
        <v/>
      </c>
    </row>
    <row r="507" spans="1:8">
      <c r="A507" s="232">
        <f t="shared" si="30"/>
        <v>505</v>
      </c>
      <c r="B507" s="233">
        <v>45949</v>
      </c>
      <c r="C507" s="234">
        <v>106.83304</v>
      </c>
      <c r="D507" s="235">
        <v>120.54686636297106</v>
      </c>
      <c r="E507" s="234">
        <f t="shared" si="31"/>
        <v>106.83304</v>
      </c>
      <c r="F507" s="239"/>
      <c r="G507" s="188" t="str">
        <f t="shared" si="32"/>
        <v/>
      </c>
      <c r="H507" s="236" t="str">
        <f t="shared" si="33"/>
        <v/>
      </c>
    </row>
    <row r="508" spans="1:8">
      <c r="A508" s="232">
        <f t="shared" si="30"/>
        <v>506</v>
      </c>
      <c r="B508" s="233">
        <v>45950</v>
      </c>
      <c r="C508" s="234">
        <v>107.701841</v>
      </c>
      <c r="D508" s="235">
        <v>120.54686636297106</v>
      </c>
      <c r="E508" s="234">
        <f t="shared" si="31"/>
        <v>107.701841</v>
      </c>
      <c r="F508" s="239"/>
      <c r="G508" s="188" t="str">
        <f t="shared" si="32"/>
        <v/>
      </c>
      <c r="H508" s="236" t="str">
        <f t="shared" si="33"/>
        <v/>
      </c>
    </row>
    <row r="509" spans="1:8">
      <c r="A509" s="232">
        <f t="shared" si="30"/>
        <v>507</v>
      </c>
      <c r="B509" s="233">
        <v>45951</v>
      </c>
      <c r="C509" s="234">
        <v>87.729926999999989</v>
      </c>
      <c r="D509" s="235">
        <v>120.54686636297106</v>
      </c>
      <c r="E509" s="234">
        <f t="shared" si="31"/>
        <v>87.729926999999989</v>
      </c>
      <c r="F509" s="239"/>
      <c r="G509" s="188" t="str">
        <f t="shared" si="32"/>
        <v/>
      </c>
      <c r="H509" s="236" t="str">
        <f t="shared" si="33"/>
        <v/>
      </c>
    </row>
    <row r="510" spans="1:8">
      <c r="A510" s="232">
        <f t="shared" si="30"/>
        <v>508</v>
      </c>
      <c r="B510" s="233">
        <v>45952</v>
      </c>
      <c r="C510" s="234">
        <v>99.534084000000007</v>
      </c>
      <c r="D510" s="235">
        <v>120.54686636297106</v>
      </c>
      <c r="E510" s="234">
        <f t="shared" si="31"/>
        <v>99.534084000000007</v>
      </c>
      <c r="F510" s="239"/>
      <c r="G510" s="188" t="str">
        <f t="shared" si="32"/>
        <v/>
      </c>
      <c r="H510" s="236" t="str">
        <f t="shared" si="33"/>
        <v/>
      </c>
    </row>
    <row r="511" spans="1:8">
      <c r="A511" s="232">
        <f t="shared" si="30"/>
        <v>509</v>
      </c>
      <c r="B511" s="233">
        <v>45953</v>
      </c>
      <c r="C511" s="234">
        <v>120.91963199999999</v>
      </c>
      <c r="D511" s="235">
        <v>120.54686636297106</v>
      </c>
      <c r="E511" s="234">
        <f t="shared" si="31"/>
        <v>120.54686636297106</v>
      </c>
      <c r="F511" s="239"/>
      <c r="G511" s="188" t="str">
        <f t="shared" si="32"/>
        <v/>
      </c>
      <c r="H511" s="236" t="str">
        <f t="shared" si="33"/>
        <v/>
      </c>
    </row>
    <row r="512" spans="1:8">
      <c r="A512" s="232">
        <f t="shared" si="30"/>
        <v>510</v>
      </c>
      <c r="B512" s="233">
        <v>45954</v>
      </c>
      <c r="C512" s="234">
        <v>121.902693</v>
      </c>
      <c r="D512" s="235">
        <v>120.54686636297106</v>
      </c>
      <c r="E512" s="234">
        <f t="shared" si="31"/>
        <v>120.54686636297106</v>
      </c>
      <c r="F512" s="239"/>
      <c r="G512" s="188" t="str">
        <f t="shared" si="32"/>
        <v/>
      </c>
      <c r="H512" s="236" t="str">
        <f t="shared" si="33"/>
        <v/>
      </c>
    </row>
    <row r="513" spans="1:8">
      <c r="A513" s="232">
        <f t="shared" si="30"/>
        <v>511</v>
      </c>
      <c r="B513" s="233">
        <v>45955</v>
      </c>
      <c r="C513" s="234">
        <v>106.25985100000001</v>
      </c>
      <c r="D513" s="235">
        <v>120.54686636297106</v>
      </c>
      <c r="E513" s="234">
        <f t="shared" si="31"/>
        <v>106.25985100000001</v>
      </c>
      <c r="F513" s="239"/>
      <c r="G513" s="188" t="str">
        <f t="shared" si="32"/>
        <v/>
      </c>
      <c r="H513" s="236" t="str">
        <f t="shared" si="33"/>
        <v/>
      </c>
    </row>
    <row r="514" spans="1:8">
      <c r="A514" s="232">
        <f t="shared" si="30"/>
        <v>512</v>
      </c>
      <c r="B514" s="233">
        <v>45956</v>
      </c>
      <c r="C514" s="234">
        <v>100.68469999999999</v>
      </c>
      <c r="D514" s="235">
        <v>120.54686636297106</v>
      </c>
      <c r="E514" s="234">
        <f t="shared" si="31"/>
        <v>100.68469999999999</v>
      </c>
      <c r="F514" s="239"/>
      <c r="G514" s="188" t="str">
        <f t="shared" si="32"/>
        <v/>
      </c>
      <c r="H514" s="236" t="str">
        <f t="shared" si="33"/>
        <v/>
      </c>
    </row>
    <row r="515" spans="1:8">
      <c r="A515" s="232">
        <f t="shared" si="30"/>
        <v>513</v>
      </c>
      <c r="B515" s="233">
        <v>45957</v>
      </c>
      <c r="C515" s="234">
        <v>153.16722200000001</v>
      </c>
      <c r="D515" s="235">
        <v>120.54686636297106</v>
      </c>
      <c r="E515" s="234">
        <f t="shared" si="31"/>
        <v>120.54686636297106</v>
      </c>
      <c r="F515" s="239"/>
      <c r="G515" s="188" t="str">
        <f t="shared" si="32"/>
        <v/>
      </c>
      <c r="H515" s="236" t="str">
        <f t="shared" si="33"/>
        <v/>
      </c>
    </row>
    <row r="516" spans="1:8">
      <c r="A516" s="232">
        <f t="shared" ref="A516:A579" si="34">+A515+1</f>
        <v>514</v>
      </c>
      <c r="B516" s="233">
        <v>45958</v>
      </c>
      <c r="C516" s="234">
        <v>121.13665399999999</v>
      </c>
      <c r="D516" s="235">
        <v>120.54686636297106</v>
      </c>
      <c r="E516" s="234">
        <f t="shared" ref="E516:E579" si="35">IF(C516&gt;D516,D516,C516)</f>
        <v>120.54686636297106</v>
      </c>
      <c r="F516" s="239"/>
      <c r="G516" s="188" t="str">
        <f t="shared" ref="G516:G579" si="36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  <c r="H516" s="236" t="str">
        <f t="shared" ref="H516:H579" si="37">IF(DAY($B516)=15,TEXT(D516,"#,0"),"")</f>
        <v/>
      </c>
    </row>
    <row r="517" spans="1:8">
      <c r="A517" s="232">
        <f t="shared" si="34"/>
        <v>515</v>
      </c>
      <c r="B517" s="233">
        <v>45959</v>
      </c>
      <c r="C517" s="234">
        <v>56.499038999999996</v>
      </c>
      <c r="D517" s="235">
        <v>120.54686636297106</v>
      </c>
      <c r="E517" s="234">
        <f t="shared" si="35"/>
        <v>56.499038999999996</v>
      </c>
      <c r="F517" s="239"/>
      <c r="G517" s="188" t="str">
        <f t="shared" si="36"/>
        <v/>
      </c>
      <c r="H517" s="236" t="str">
        <f t="shared" si="37"/>
        <v/>
      </c>
    </row>
    <row r="518" spans="1:8">
      <c r="A518" s="232">
        <f t="shared" si="34"/>
        <v>516</v>
      </c>
      <c r="B518" s="233">
        <v>45960</v>
      </c>
      <c r="C518" s="234">
        <v>91.933517999999992</v>
      </c>
      <c r="D518" s="235">
        <v>120.54686636297106</v>
      </c>
      <c r="E518" s="234">
        <f t="shared" si="35"/>
        <v>91.933517999999992</v>
      </c>
      <c r="F518" s="239"/>
      <c r="G518" s="188" t="str">
        <f t="shared" si="36"/>
        <v/>
      </c>
      <c r="H518" s="236" t="str">
        <f t="shared" si="37"/>
        <v/>
      </c>
    </row>
    <row r="519" spans="1:8">
      <c r="A519" s="232">
        <f t="shared" si="34"/>
        <v>517</v>
      </c>
      <c r="B519" s="233">
        <v>45961</v>
      </c>
      <c r="C519" s="234">
        <v>83.950518000000002</v>
      </c>
      <c r="D519" s="235">
        <v>120.54686636297106</v>
      </c>
      <c r="E519" s="234">
        <f t="shared" si="35"/>
        <v>83.950518000000002</v>
      </c>
      <c r="F519" s="239"/>
      <c r="G519" s="188" t="str">
        <f t="shared" si="36"/>
        <v/>
      </c>
      <c r="H519" s="236" t="str">
        <f t="shared" si="37"/>
        <v/>
      </c>
    </row>
    <row r="520" spans="1:8">
      <c r="A520" s="232">
        <f t="shared" si="34"/>
        <v>518</v>
      </c>
      <c r="B520" s="233">
        <v>45962</v>
      </c>
      <c r="C520" s="234">
        <v>92.360892000000007</v>
      </c>
      <c r="D520" s="235">
        <v>91.218224060623271</v>
      </c>
      <c r="E520" s="234">
        <f t="shared" si="35"/>
        <v>91.218224060623271</v>
      </c>
      <c r="F520" s="237"/>
      <c r="G520" s="188" t="str">
        <f t="shared" si="36"/>
        <v/>
      </c>
      <c r="H520" s="236" t="str">
        <f t="shared" si="37"/>
        <v/>
      </c>
    </row>
    <row r="521" spans="1:8">
      <c r="A521" s="232">
        <f t="shared" si="34"/>
        <v>519</v>
      </c>
      <c r="B521" s="233">
        <v>45963</v>
      </c>
      <c r="C521" s="234">
        <v>113.62086500000001</v>
      </c>
      <c r="D521" s="235">
        <v>91.218224060623271</v>
      </c>
      <c r="E521" s="234">
        <f t="shared" si="35"/>
        <v>91.218224060623271</v>
      </c>
      <c r="F521" s="237"/>
      <c r="G521" s="188" t="str">
        <f t="shared" si="36"/>
        <v/>
      </c>
      <c r="H521" s="236" t="str">
        <f t="shared" si="37"/>
        <v/>
      </c>
    </row>
    <row r="522" spans="1:8">
      <c r="A522" s="232">
        <f t="shared" si="34"/>
        <v>520</v>
      </c>
      <c r="B522" s="233">
        <v>45964</v>
      </c>
      <c r="C522" s="234">
        <v>150.35358499999998</v>
      </c>
      <c r="D522" s="235">
        <v>91.218224060623271</v>
      </c>
      <c r="E522" s="234">
        <f t="shared" si="35"/>
        <v>91.218224060623271</v>
      </c>
      <c r="F522" s="239"/>
      <c r="G522" s="188" t="str">
        <f t="shared" si="36"/>
        <v/>
      </c>
      <c r="H522" s="236" t="str">
        <f t="shared" si="37"/>
        <v/>
      </c>
    </row>
    <row r="523" spans="1:8">
      <c r="A523" s="232">
        <f t="shared" si="34"/>
        <v>521</v>
      </c>
      <c r="B523" s="233">
        <v>45965</v>
      </c>
      <c r="C523" s="234">
        <v>120.79439499999999</v>
      </c>
      <c r="D523" s="235">
        <v>91.218224060623271</v>
      </c>
      <c r="E523" s="234">
        <f t="shared" si="35"/>
        <v>91.218224060623271</v>
      </c>
      <c r="F523" s="239"/>
      <c r="G523" s="188" t="str">
        <f t="shared" si="36"/>
        <v/>
      </c>
      <c r="H523" s="236" t="str">
        <f t="shared" si="37"/>
        <v/>
      </c>
    </row>
    <row r="524" spans="1:8">
      <c r="A524" s="232">
        <f t="shared" si="34"/>
        <v>522</v>
      </c>
      <c r="B524" s="233">
        <v>45966</v>
      </c>
      <c r="C524" s="234">
        <v>61.303362999999997</v>
      </c>
      <c r="D524" s="235">
        <v>91.218224060623271</v>
      </c>
      <c r="E524" s="234">
        <f t="shared" si="35"/>
        <v>61.303362999999997</v>
      </c>
      <c r="F524" s="239"/>
      <c r="G524" s="188" t="str">
        <f t="shared" si="36"/>
        <v/>
      </c>
      <c r="H524" s="236" t="str">
        <f t="shared" si="37"/>
        <v/>
      </c>
    </row>
    <row r="525" spans="1:8">
      <c r="A525" s="232">
        <f t="shared" si="34"/>
        <v>523</v>
      </c>
      <c r="B525" s="233">
        <v>45967</v>
      </c>
      <c r="C525" s="234">
        <v>93.655795999999995</v>
      </c>
      <c r="D525" s="235">
        <v>91.218224060623271</v>
      </c>
      <c r="E525" s="234">
        <f t="shared" si="35"/>
        <v>91.218224060623271</v>
      </c>
      <c r="F525" s="239"/>
      <c r="G525" s="188" t="str">
        <f t="shared" si="36"/>
        <v/>
      </c>
      <c r="H525" s="236" t="str">
        <f t="shared" si="37"/>
        <v/>
      </c>
    </row>
    <row r="526" spans="1:8">
      <c r="A526" s="232">
        <f t="shared" si="34"/>
        <v>524</v>
      </c>
      <c r="B526" s="233">
        <v>45968</v>
      </c>
      <c r="C526" s="234">
        <v>75.366657000000004</v>
      </c>
      <c r="D526" s="235">
        <v>91.218224060623271</v>
      </c>
      <c r="E526" s="234">
        <f t="shared" si="35"/>
        <v>75.366657000000004</v>
      </c>
      <c r="F526" s="239"/>
      <c r="G526" s="188" t="str">
        <f t="shared" si="36"/>
        <v/>
      </c>
      <c r="H526" s="236" t="str">
        <f t="shared" si="37"/>
        <v/>
      </c>
    </row>
    <row r="527" spans="1:8">
      <c r="A527" s="232">
        <f t="shared" si="34"/>
        <v>525</v>
      </c>
      <c r="B527" s="233">
        <v>45969</v>
      </c>
      <c r="C527" s="234">
        <v>113.28643599999999</v>
      </c>
      <c r="D527" s="235">
        <v>91.218224060623271</v>
      </c>
      <c r="E527" s="234">
        <f t="shared" si="35"/>
        <v>91.218224060623271</v>
      </c>
      <c r="F527" s="239"/>
      <c r="G527" s="188" t="str">
        <f t="shared" si="36"/>
        <v/>
      </c>
      <c r="H527" s="236" t="str">
        <f t="shared" si="37"/>
        <v/>
      </c>
    </row>
    <row r="528" spans="1:8">
      <c r="A528" s="232">
        <f t="shared" si="34"/>
        <v>526</v>
      </c>
      <c r="B528" s="233">
        <v>45970</v>
      </c>
      <c r="C528" s="234">
        <v>128.860749</v>
      </c>
      <c r="D528" s="235">
        <v>91.218224060623271</v>
      </c>
      <c r="E528" s="234">
        <f t="shared" si="35"/>
        <v>91.218224060623271</v>
      </c>
      <c r="F528" s="239"/>
      <c r="G528" s="188" t="str">
        <f t="shared" si="36"/>
        <v/>
      </c>
      <c r="H528" s="236" t="str">
        <f t="shared" si="37"/>
        <v/>
      </c>
    </row>
    <row r="529" spans="1:8">
      <c r="A529" s="232">
        <f t="shared" si="34"/>
        <v>527</v>
      </c>
      <c r="B529" s="233">
        <v>45971</v>
      </c>
      <c r="C529" s="234">
        <v>123.881682</v>
      </c>
      <c r="D529" s="235">
        <v>91.218224060623271</v>
      </c>
      <c r="E529" s="234">
        <f t="shared" si="35"/>
        <v>91.218224060623271</v>
      </c>
      <c r="F529" s="239"/>
      <c r="G529" s="188" t="str">
        <f t="shared" si="36"/>
        <v/>
      </c>
      <c r="H529" s="236" t="str">
        <f t="shared" si="37"/>
        <v/>
      </c>
    </row>
    <row r="530" spans="1:8">
      <c r="A530" s="232">
        <f t="shared" si="34"/>
        <v>528</v>
      </c>
      <c r="B530" s="233">
        <v>45972</v>
      </c>
      <c r="C530" s="234">
        <v>124.21391899999999</v>
      </c>
      <c r="D530" s="235">
        <v>91.218224060623271</v>
      </c>
      <c r="E530" s="234">
        <f t="shared" si="35"/>
        <v>91.218224060623271</v>
      </c>
      <c r="F530" s="239"/>
      <c r="G530" s="188" t="str">
        <f t="shared" si="36"/>
        <v/>
      </c>
      <c r="H530" s="236" t="str">
        <f t="shared" si="37"/>
        <v/>
      </c>
    </row>
    <row r="531" spans="1:8">
      <c r="A531" s="232">
        <f t="shared" si="34"/>
        <v>529</v>
      </c>
      <c r="B531" s="233">
        <v>45973</v>
      </c>
      <c r="C531" s="234">
        <v>108.082201</v>
      </c>
      <c r="D531" s="235">
        <v>91.218224060623271</v>
      </c>
      <c r="E531" s="234">
        <f t="shared" si="35"/>
        <v>91.218224060623271</v>
      </c>
      <c r="F531" s="239"/>
      <c r="G531" s="188" t="str">
        <f t="shared" si="36"/>
        <v/>
      </c>
      <c r="H531" s="236" t="str">
        <f t="shared" si="37"/>
        <v/>
      </c>
    </row>
    <row r="532" spans="1:8">
      <c r="A532" s="232">
        <f t="shared" si="34"/>
        <v>530</v>
      </c>
      <c r="B532" s="233">
        <v>45974</v>
      </c>
      <c r="C532" s="234">
        <v>31.882144999999998</v>
      </c>
      <c r="D532" s="235">
        <v>91.218224060623271</v>
      </c>
      <c r="E532" s="234">
        <f t="shared" si="35"/>
        <v>31.882144999999998</v>
      </c>
      <c r="F532" s="239"/>
      <c r="G532" s="188" t="str">
        <f t="shared" si="36"/>
        <v/>
      </c>
      <c r="H532" s="236" t="str">
        <f t="shared" si="37"/>
        <v/>
      </c>
    </row>
    <row r="533" spans="1:8">
      <c r="A533" s="232">
        <f t="shared" si="34"/>
        <v>531</v>
      </c>
      <c r="B533" s="233">
        <v>45975</v>
      </c>
      <c r="C533" s="234">
        <v>60.386104999999993</v>
      </c>
      <c r="D533" s="235">
        <v>91.218224060623271</v>
      </c>
      <c r="E533" s="234">
        <f t="shared" si="35"/>
        <v>60.386104999999993</v>
      </c>
      <c r="F533" s="239"/>
      <c r="G533" s="188" t="str">
        <f t="shared" si="36"/>
        <v/>
      </c>
      <c r="H533" s="236" t="str">
        <f t="shared" si="37"/>
        <v/>
      </c>
    </row>
    <row r="534" spans="1:8">
      <c r="A534" s="232">
        <f t="shared" si="34"/>
        <v>532</v>
      </c>
      <c r="B534" s="233">
        <v>45976</v>
      </c>
      <c r="C534" s="234">
        <v>37.23001</v>
      </c>
      <c r="D534" s="235">
        <v>91.218224060623271</v>
      </c>
      <c r="E534" s="234">
        <f t="shared" si="35"/>
        <v>37.23001</v>
      </c>
      <c r="F534" s="239"/>
      <c r="G534" s="188" t="str">
        <f t="shared" si="36"/>
        <v>N</v>
      </c>
      <c r="H534" s="236" t="str">
        <f t="shared" si="37"/>
        <v>91,2</v>
      </c>
    </row>
    <row r="535" spans="1:8">
      <c r="A535" s="232">
        <f t="shared" si="34"/>
        <v>533</v>
      </c>
      <c r="B535" s="233">
        <v>45977</v>
      </c>
      <c r="C535" s="234">
        <v>79.08165799999999</v>
      </c>
      <c r="D535" s="235">
        <v>91.218224060623271</v>
      </c>
      <c r="E535" s="234">
        <f t="shared" si="35"/>
        <v>79.08165799999999</v>
      </c>
      <c r="F535" s="239"/>
      <c r="G535" s="188" t="str">
        <f t="shared" si="36"/>
        <v/>
      </c>
      <c r="H535" s="236" t="str">
        <f t="shared" si="37"/>
        <v/>
      </c>
    </row>
    <row r="536" spans="1:8">
      <c r="A536" s="232">
        <f t="shared" si="34"/>
        <v>534</v>
      </c>
      <c r="B536" s="233">
        <v>45978</v>
      </c>
      <c r="C536" s="234">
        <v>88.768568999999999</v>
      </c>
      <c r="D536" s="235">
        <v>91.218224060623271</v>
      </c>
      <c r="E536" s="234">
        <f t="shared" si="35"/>
        <v>88.768568999999999</v>
      </c>
      <c r="F536" s="239"/>
      <c r="G536" s="188" t="str">
        <f t="shared" si="36"/>
        <v/>
      </c>
      <c r="H536" s="236" t="str">
        <f t="shared" si="37"/>
        <v/>
      </c>
    </row>
    <row r="537" spans="1:8">
      <c r="A537" s="232">
        <f t="shared" si="34"/>
        <v>535</v>
      </c>
      <c r="B537" s="233">
        <v>45979</v>
      </c>
      <c r="C537" s="234">
        <v>130.85115199999998</v>
      </c>
      <c r="D537" s="235">
        <v>91.218224060623271</v>
      </c>
      <c r="E537" s="234">
        <f t="shared" si="35"/>
        <v>91.218224060623271</v>
      </c>
      <c r="F537" s="239"/>
      <c r="G537" s="188" t="str">
        <f t="shared" si="36"/>
        <v/>
      </c>
      <c r="H537" s="236" t="str">
        <f t="shared" si="37"/>
        <v/>
      </c>
    </row>
    <row r="538" spans="1:8">
      <c r="A538" s="232">
        <f t="shared" si="34"/>
        <v>536</v>
      </c>
      <c r="B538" s="233">
        <v>45980</v>
      </c>
      <c r="C538" s="234">
        <v>111.654521</v>
      </c>
      <c r="D538" s="235">
        <v>91.218224060623271</v>
      </c>
      <c r="E538" s="234">
        <f t="shared" si="35"/>
        <v>91.218224060623271</v>
      </c>
      <c r="F538" s="239"/>
      <c r="G538" s="188" t="str">
        <f t="shared" si="36"/>
        <v/>
      </c>
      <c r="H538" s="236" t="str">
        <f t="shared" si="37"/>
        <v/>
      </c>
    </row>
    <row r="539" spans="1:8">
      <c r="A539" s="232">
        <f t="shared" si="34"/>
        <v>537</v>
      </c>
      <c r="B539" s="233">
        <v>45981</v>
      </c>
      <c r="C539" s="234">
        <v>128.015972</v>
      </c>
      <c r="D539" s="235">
        <v>91.218224060623271</v>
      </c>
      <c r="E539" s="234">
        <f t="shared" si="35"/>
        <v>91.218224060623271</v>
      </c>
      <c r="F539" s="239"/>
      <c r="G539" s="188" t="str">
        <f t="shared" si="36"/>
        <v/>
      </c>
      <c r="H539" s="236" t="str">
        <f t="shared" si="37"/>
        <v/>
      </c>
    </row>
    <row r="540" spans="1:8">
      <c r="A540" s="232">
        <f t="shared" si="34"/>
        <v>538</v>
      </c>
      <c r="B540" s="233">
        <v>45982</v>
      </c>
      <c r="C540" s="234">
        <v>127.997018</v>
      </c>
      <c r="D540" s="235">
        <v>91.218224060623271</v>
      </c>
      <c r="E540" s="234">
        <f t="shared" si="35"/>
        <v>91.218224060623271</v>
      </c>
      <c r="F540" s="239"/>
      <c r="G540" s="188" t="str">
        <f t="shared" si="36"/>
        <v/>
      </c>
      <c r="H540" s="236" t="str">
        <f t="shared" si="37"/>
        <v/>
      </c>
    </row>
    <row r="541" spans="1:8">
      <c r="A541" s="232">
        <f t="shared" si="34"/>
        <v>539</v>
      </c>
      <c r="B541" s="233">
        <v>45983</v>
      </c>
      <c r="C541" s="234">
        <v>128.64770200000001</v>
      </c>
      <c r="D541" s="235">
        <v>91.218224060623271</v>
      </c>
      <c r="E541" s="234">
        <f t="shared" si="35"/>
        <v>91.218224060623271</v>
      </c>
      <c r="F541" s="239"/>
      <c r="G541" s="188" t="str">
        <f t="shared" si="36"/>
        <v/>
      </c>
      <c r="H541" s="236" t="str">
        <f t="shared" si="37"/>
        <v/>
      </c>
    </row>
    <row r="542" spans="1:8">
      <c r="A542" s="232">
        <f t="shared" si="34"/>
        <v>540</v>
      </c>
      <c r="B542" s="233">
        <v>45984</v>
      </c>
      <c r="C542" s="234">
        <v>102.836287</v>
      </c>
      <c r="D542" s="235">
        <v>91.218224060623271</v>
      </c>
      <c r="E542" s="234">
        <f t="shared" si="35"/>
        <v>91.218224060623271</v>
      </c>
      <c r="F542" s="239"/>
      <c r="G542" s="188" t="str">
        <f t="shared" si="36"/>
        <v/>
      </c>
      <c r="H542" s="236" t="str">
        <f t="shared" si="37"/>
        <v/>
      </c>
    </row>
    <row r="543" spans="1:8">
      <c r="A543" s="232">
        <f t="shared" si="34"/>
        <v>541</v>
      </c>
      <c r="B543" s="233">
        <v>45985</v>
      </c>
      <c r="C543" s="234">
        <v>41.484577999999999</v>
      </c>
      <c r="D543" s="235">
        <v>91.218224060623271</v>
      </c>
      <c r="E543" s="234">
        <f t="shared" si="35"/>
        <v>41.484577999999999</v>
      </c>
      <c r="F543" s="239"/>
      <c r="G543" s="188" t="str">
        <f t="shared" si="36"/>
        <v/>
      </c>
      <c r="H543" s="236" t="str">
        <f t="shared" si="37"/>
        <v/>
      </c>
    </row>
    <row r="544" spans="1:8">
      <c r="A544" s="232">
        <f t="shared" si="34"/>
        <v>542</v>
      </c>
      <c r="B544" s="233">
        <v>45986</v>
      </c>
      <c r="C544" s="234">
        <v>117.72577299999999</v>
      </c>
      <c r="D544" s="235">
        <v>91.218224060623271</v>
      </c>
      <c r="E544" s="234">
        <f t="shared" si="35"/>
        <v>91.218224060623271</v>
      </c>
      <c r="F544" s="239"/>
      <c r="G544" s="188" t="str">
        <f t="shared" si="36"/>
        <v/>
      </c>
      <c r="H544" s="236" t="str">
        <f t="shared" si="37"/>
        <v/>
      </c>
    </row>
    <row r="545" spans="1:8">
      <c r="A545" s="232">
        <f t="shared" si="34"/>
        <v>543</v>
      </c>
      <c r="B545" s="233">
        <v>45987</v>
      </c>
      <c r="C545" s="234">
        <v>129.98076</v>
      </c>
      <c r="D545" s="235">
        <v>91.218224060623271</v>
      </c>
      <c r="E545" s="234">
        <f t="shared" si="35"/>
        <v>91.218224060623271</v>
      </c>
      <c r="F545" s="239"/>
      <c r="G545" s="188" t="str">
        <f t="shared" si="36"/>
        <v/>
      </c>
      <c r="H545" s="236" t="str">
        <f t="shared" si="37"/>
        <v/>
      </c>
    </row>
    <row r="546" spans="1:8">
      <c r="A546" s="232">
        <f t="shared" si="34"/>
        <v>544</v>
      </c>
      <c r="B546" s="233">
        <v>45988</v>
      </c>
      <c r="C546" s="234">
        <v>137.66156300000003</v>
      </c>
      <c r="D546" s="235">
        <v>91.218224060623271</v>
      </c>
      <c r="E546" s="234">
        <f t="shared" si="35"/>
        <v>91.218224060623271</v>
      </c>
      <c r="F546" s="239"/>
      <c r="G546" s="188" t="str">
        <f t="shared" si="36"/>
        <v/>
      </c>
      <c r="H546" s="236" t="str">
        <f t="shared" si="37"/>
        <v/>
      </c>
    </row>
    <row r="547" spans="1:8">
      <c r="A547" s="232">
        <f t="shared" si="34"/>
        <v>545</v>
      </c>
      <c r="B547" s="233">
        <v>45989</v>
      </c>
      <c r="C547" s="234">
        <v>135.669252</v>
      </c>
      <c r="D547" s="235">
        <v>91.218224060623271</v>
      </c>
      <c r="E547" s="234">
        <f t="shared" si="35"/>
        <v>91.218224060623271</v>
      </c>
      <c r="F547" s="239"/>
      <c r="G547" s="188" t="str">
        <f t="shared" si="36"/>
        <v/>
      </c>
      <c r="H547" s="236" t="str">
        <f t="shared" si="37"/>
        <v/>
      </c>
    </row>
    <row r="548" spans="1:8">
      <c r="A548" s="232">
        <f t="shared" si="34"/>
        <v>546</v>
      </c>
      <c r="B548" s="233">
        <v>45990</v>
      </c>
      <c r="C548" s="234">
        <v>102.924093</v>
      </c>
      <c r="D548" s="235">
        <v>91.218224060623271</v>
      </c>
      <c r="E548" s="234">
        <f t="shared" si="35"/>
        <v>91.218224060623271</v>
      </c>
      <c r="F548" s="239"/>
      <c r="G548" s="188" t="str">
        <f t="shared" si="36"/>
        <v/>
      </c>
      <c r="H548" s="236" t="str">
        <f t="shared" si="37"/>
        <v/>
      </c>
    </row>
    <row r="549" spans="1:8">
      <c r="A549" s="232">
        <f t="shared" si="34"/>
        <v>547</v>
      </c>
      <c r="B549" s="233">
        <v>45991</v>
      </c>
      <c r="C549" s="234">
        <v>67.507467000000005</v>
      </c>
      <c r="D549" s="235">
        <v>91.218224060623271</v>
      </c>
      <c r="E549" s="234">
        <f t="shared" si="35"/>
        <v>67.507467000000005</v>
      </c>
      <c r="F549" s="239"/>
      <c r="G549" s="188" t="str">
        <f t="shared" si="36"/>
        <v/>
      </c>
      <c r="H549" s="236" t="str">
        <f t="shared" si="37"/>
        <v/>
      </c>
    </row>
    <row r="550" spans="1:8">
      <c r="A550" s="232">
        <f t="shared" si="34"/>
        <v>548</v>
      </c>
      <c r="B550" s="233">
        <v>45992</v>
      </c>
      <c r="C550" s="234">
        <v>116.36626799999999</v>
      </c>
      <c r="D550" s="235">
        <v>76.368428472871472</v>
      </c>
      <c r="E550" s="234">
        <f t="shared" si="35"/>
        <v>76.368428472871472</v>
      </c>
      <c r="F550" s="239"/>
      <c r="G550" s="188" t="str">
        <f t="shared" si="36"/>
        <v/>
      </c>
      <c r="H550" s="236" t="str">
        <f t="shared" si="37"/>
        <v/>
      </c>
    </row>
    <row r="551" spans="1:8">
      <c r="A551" s="232">
        <f t="shared" si="34"/>
        <v>549</v>
      </c>
      <c r="B551" s="233">
        <v>45993</v>
      </c>
      <c r="C551" s="234">
        <v>66.967092000000008</v>
      </c>
      <c r="D551" s="235">
        <v>76.368428472871472</v>
      </c>
      <c r="E551" s="234">
        <f t="shared" si="35"/>
        <v>66.967092000000008</v>
      </c>
      <c r="F551" s="237"/>
      <c r="G551" s="188" t="str">
        <f t="shared" si="36"/>
        <v/>
      </c>
      <c r="H551" s="236" t="str">
        <f t="shared" si="37"/>
        <v/>
      </c>
    </row>
    <row r="552" spans="1:8">
      <c r="A552" s="232">
        <f t="shared" si="34"/>
        <v>550</v>
      </c>
      <c r="B552" s="233">
        <v>45994</v>
      </c>
      <c r="C552" s="234">
        <v>110.245834</v>
      </c>
      <c r="D552" s="235">
        <v>76.368428472871472</v>
      </c>
      <c r="E552" s="234">
        <f t="shared" si="35"/>
        <v>76.368428472871472</v>
      </c>
      <c r="F552" s="237"/>
      <c r="G552" s="188" t="str">
        <f t="shared" si="36"/>
        <v/>
      </c>
      <c r="H552" s="236" t="str">
        <f t="shared" si="37"/>
        <v/>
      </c>
    </row>
    <row r="553" spans="1:8">
      <c r="A553" s="232">
        <f t="shared" si="34"/>
        <v>551</v>
      </c>
      <c r="B553" s="233">
        <v>45995</v>
      </c>
      <c r="C553" s="234">
        <v>40.640574999999998</v>
      </c>
      <c r="D553" s="235">
        <v>76.368428472871472</v>
      </c>
      <c r="E553" s="234">
        <f t="shared" si="35"/>
        <v>40.640574999999998</v>
      </c>
      <c r="F553" s="239"/>
      <c r="G553" s="188" t="str">
        <f t="shared" si="36"/>
        <v/>
      </c>
      <c r="H553" s="236" t="str">
        <f t="shared" si="37"/>
        <v/>
      </c>
    </row>
    <row r="554" spans="1:8">
      <c r="A554" s="232">
        <f t="shared" si="34"/>
        <v>552</v>
      </c>
      <c r="B554" s="233">
        <v>45996</v>
      </c>
      <c r="C554" s="234">
        <v>53.051883000000004</v>
      </c>
      <c r="D554" s="235">
        <v>76.368428472871472</v>
      </c>
      <c r="E554" s="234">
        <f t="shared" si="35"/>
        <v>53.051883000000004</v>
      </c>
      <c r="F554" s="239"/>
      <c r="G554" s="188" t="str">
        <f t="shared" si="36"/>
        <v/>
      </c>
      <c r="H554" s="236" t="str">
        <f t="shared" si="37"/>
        <v/>
      </c>
    </row>
    <row r="555" spans="1:8">
      <c r="A555" s="232">
        <f t="shared" si="34"/>
        <v>553</v>
      </c>
      <c r="B555" s="233">
        <v>45997</v>
      </c>
      <c r="C555" s="234">
        <v>58.755645000000001</v>
      </c>
      <c r="D555" s="235">
        <v>76.368428472871472</v>
      </c>
      <c r="E555" s="234">
        <f t="shared" si="35"/>
        <v>58.755645000000001</v>
      </c>
      <c r="F555" s="239"/>
      <c r="G555" s="188" t="str">
        <f t="shared" si="36"/>
        <v/>
      </c>
      <c r="H555" s="236" t="str">
        <f t="shared" si="37"/>
        <v/>
      </c>
    </row>
    <row r="556" spans="1:8">
      <c r="A556" s="232">
        <f t="shared" si="34"/>
        <v>554</v>
      </c>
      <c r="B556" s="233">
        <v>45998</v>
      </c>
      <c r="C556" s="234">
        <v>74.523268000000016</v>
      </c>
      <c r="D556" s="235">
        <v>76.368428472871472</v>
      </c>
      <c r="E556" s="234">
        <f t="shared" si="35"/>
        <v>74.523268000000016</v>
      </c>
      <c r="F556" s="239"/>
      <c r="G556" s="188" t="str">
        <f t="shared" si="36"/>
        <v/>
      </c>
      <c r="H556" s="236" t="str">
        <f t="shared" si="37"/>
        <v/>
      </c>
    </row>
    <row r="557" spans="1:8">
      <c r="A557" s="232">
        <f t="shared" si="34"/>
        <v>555</v>
      </c>
      <c r="B557" s="233">
        <v>45999</v>
      </c>
      <c r="C557" s="234">
        <v>103.86831699999999</v>
      </c>
      <c r="D557" s="235">
        <v>76.368428472871472</v>
      </c>
      <c r="E557" s="234">
        <f t="shared" si="35"/>
        <v>76.368428472871472</v>
      </c>
      <c r="F557" s="239"/>
      <c r="G557" s="188" t="str">
        <f t="shared" si="36"/>
        <v/>
      </c>
      <c r="H557" s="236" t="str">
        <f t="shared" si="37"/>
        <v/>
      </c>
    </row>
    <row r="558" spans="1:8">
      <c r="A558" s="232">
        <f t="shared" si="34"/>
        <v>556</v>
      </c>
      <c r="B558" s="233">
        <v>46000</v>
      </c>
      <c r="C558" s="234">
        <v>81.289057</v>
      </c>
      <c r="D558" s="235">
        <v>76.368428472871472</v>
      </c>
      <c r="E558" s="234">
        <f t="shared" si="35"/>
        <v>76.368428472871472</v>
      </c>
      <c r="F558" s="239"/>
      <c r="G558" s="188" t="str">
        <f t="shared" si="36"/>
        <v/>
      </c>
      <c r="H558" s="236" t="str">
        <f t="shared" si="37"/>
        <v/>
      </c>
    </row>
    <row r="559" spans="1:8">
      <c r="A559" s="232">
        <f t="shared" si="34"/>
        <v>557</v>
      </c>
      <c r="B559" s="233">
        <v>46001</v>
      </c>
      <c r="C559" s="234">
        <v>34.811223999999996</v>
      </c>
      <c r="D559" s="235">
        <v>76.368428472871472</v>
      </c>
      <c r="E559" s="234">
        <f t="shared" si="35"/>
        <v>34.811223999999996</v>
      </c>
      <c r="F559" s="239"/>
      <c r="G559" s="188" t="str">
        <f t="shared" si="36"/>
        <v/>
      </c>
      <c r="H559" s="236" t="str">
        <f t="shared" si="37"/>
        <v/>
      </c>
    </row>
    <row r="560" spans="1:8">
      <c r="A560" s="232">
        <f t="shared" si="34"/>
        <v>558</v>
      </c>
      <c r="B560" s="233">
        <v>46002</v>
      </c>
      <c r="C560" s="234">
        <v>81.407173999999998</v>
      </c>
      <c r="D560" s="235">
        <v>76.368428472871472</v>
      </c>
      <c r="E560" s="234">
        <f t="shared" si="35"/>
        <v>76.368428472871472</v>
      </c>
      <c r="F560" s="239"/>
      <c r="G560" s="188" t="str">
        <f t="shared" si="36"/>
        <v/>
      </c>
      <c r="H560" s="236" t="str">
        <f t="shared" si="37"/>
        <v/>
      </c>
    </row>
    <row r="561" spans="1:8">
      <c r="A561" s="232">
        <f t="shared" si="34"/>
        <v>559</v>
      </c>
      <c r="B561" s="233">
        <v>46003</v>
      </c>
      <c r="C561" s="234">
        <v>36.625644999999999</v>
      </c>
      <c r="D561" s="235">
        <v>76.368428472871472</v>
      </c>
      <c r="E561" s="234">
        <f t="shared" si="35"/>
        <v>36.625644999999999</v>
      </c>
      <c r="F561" s="239"/>
      <c r="G561" s="188" t="str">
        <f t="shared" si="36"/>
        <v/>
      </c>
      <c r="H561" s="236" t="str">
        <f t="shared" si="37"/>
        <v/>
      </c>
    </row>
    <row r="562" spans="1:8">
      <c r="A562" s="232">
        <f t="shared" si="34"/>
        <v>560</v>
      </c>
      <c r="B562" s="233">
        <v>46004</v>
      </c>
      <c r="C562" s="234">
        <v>79.885193999999998</v>
      </c>
      <c r="D562" s="235">
        <v>76.368428472871472</v>
      </c>
      <c r="E562" s="234">
        <f t="shared" si="35"/>
        <v>76.368428472871472</v>
      </c>
      <c r="F562" s="239"/>
      <c r="G562" s="188" t="str">
        <f t="shared" si="36"/>
        <v/>
      </c>
      <c r="H562" s="236" t="str">
        <f t="shared" si="37"/>
        <v/>
      </c>
    </row>
    <row r="563" spans="1:8">
      <c r="A563" s="232">
        <f t="shared" si="34"/>
        <v>561</v>
      </c>
      <c r="B563" s="233">
        <v>46005</v>
      </c>
      <c r="C563" s="234">
        <v>79.476849999999999</v>
      </c>
      <c r="D563" s="235">
        <v>76.368428472871472</v>
      </c>
      <c r="E563" s="234">
        <f t="shared" si="35"/>
        <v>76.368428472871472</v>
      </c>
      <c r="F563" s="239"/>
      <c r="G563" s="188" t="str">
        <f t="shared" si="36"/>
        <v/>
      </c>
      <c r="H563" s="236" t="str">
        <f t="shared" si="37"/>
        <v/>
      </c>
    </row>
    <row r="564" spans="1:8">
      <c r="A564" s="232">
        <f t="shared" si="34"/>
        <v>562</v>
      </c>
      <c r="B564" s="233">
        <v>46006</v>
      </c>
      <c r="C564" s="234">
        <v>48.690061</v>
      </c>
      <c r="D564" s="235">
        <v>76.368428472871472</v>
      </c>
      <c r="E564" s="234">
        <f t="shared" si="35"/>
        <v>48.690061</v>
      </c>
      <c r="F564" s="239"/>
      <c r="G564" s="188" t="str">
        <f t="shared" si="36"/>
        <v>D</v>
      </c>
      <c r="H564" s="236" t="str">
        <f t="shared" si="37"/>
        <v>76,4</v>
      </c>
    </row>
    <row r="565" spans="1:8">
      <c r="A565" s="232">
        <f t="shared" si="34"/>
        <v>563</v>
      </c>
      <c r="B565" s="233">
        <v>46007</v>
      </c>
      <c r="C565" s="234">
        <v>33.629404000000001</v>
      </c>
      <c r="D565" s="235">
        <v>76.368428472871472</v>
      </c>
      <c r="E565" s="234">
        <f t="shared" si="35"/>
        <v>33.629404000000001</v>
      </c>
      <c r="F565" s="239"/>
      <c r="G565" s="188" t="str">
        <f t="shared" si="36"/>
        <v/>
      </c>
      <c r="H565" s="236" t="str">
        <f t="shared" si="37"/>
        <v/>
      </c>
    </row>
    <row r="566" spans="1:8">
      <c r="A566" s="232">
        <f t="shared" si="34"/>
        <v>564</v>
      </c>
      <c r="B566" s="233">
        <v>46008</v>
      </c>
      <c r="C566" s="234">
        <v>81.043768</v>
      </c>
      <c r="D566" s="235">
        <v>76.368428472871472</v>
      </c>
      <c r="E566" s="234">
        <f t="shared" si="35"/>
        <v>76.368428472871472</v>
      </c>
      <c r="F566" s="239"/>
      <c r="G566" s="188" t="str">
        <f t="shared" si="36"/>
        <v/>
      </c>
      <c r="H566" s="236" t="str">
        <f t="shared" si="37"/>
        <v/>
      </c>
    </row>
    <row r="567" spans="1:8">
      <c r="A567" s="232">
        <f t="shared" si="34"/>
        <v>565</v>
      </c>
      <c r="B567" s="233">
        <v>46009</v>
      </c>
      <c r="C567" s="234">
        <v>87.745297999999991</v>
      </c>
      <c r="D567" s="235">
        <v>76.368428472871472</v>
      </c>
      <c r="E567" s="234">
        <f t="shared" si="35"/>
        <v>76.368428472871472</v>
      </c>
      <c r="F567" s="239"/>
      <c r="G567" s="188" t="str">
        <f t="shared" si="36"/>
        <v/>
      </c>
      <c r="H567" s="236" t="str">
        <f t="shared" si="37"/>
        <v/>
      </c>
    </row>
    <row r="568" spans="1:8">
      <c r="A568" s="232">
        <f t="shared" si="34"/>
        <v>566</v>
      </c>
      <c r="B568" s="233">
        <v>46010</v>
      </c>
      <c r="C568" s="234">
        <v>34.297157999999996</v>
      </c>
      <c r="D568" s="235">
        <v>76.368428472871472</v>
      </c>
      <c r="E568" s="234">
        <f t="shared" si="35"/>
        <v>34.297157999999996</v>
      </c>
      <c r="F568" s="239"/>
      <c r="G568" s="188" t="str">
        <f t="shared" si="36"/>
        <v/>
      </c>
      <c r="H568" s="236" t="str">
        <f t="shared" si="37"/>
        <v/>
      </c>
    </row>
    <row r="569" spans="1:8">
      <c r="A569" s="232">
        <f t="shared" si="34"/>
        <v>567</v>
      </c>
      <c r="B569" s="233">
        <v>46011</v>
      </c>
      <c r="C569" s="234">
        <v>64.564453</v>
      </c>
      <c r="D569" s="235">
        <v>76.368428472871472</v>
      </c>
      <c r="E569" s="234">
        <f t="shared" si="35"/>
        <v>64.564453</v>
      </c>
      <c r="F569" s="239"/>
      <c r="G569" s="188" t="str">
        <f t="shared" si="36"/>
        <v/>
      </c>
      <c r="H569" s="236" t="str">
        <f t="shared" si="37"/>
        <v/>
      </c>
    </row>
    <row r="570" spans="1:8">
      <c r="A570" s="232">
        <f t="shared" si="34"/>
        <v>568</v>
      </c>
      <c r="B570" s="233">
        <v>46012</v>
      </c>
      <c r="C570" s="234">
        <v>43.280155000000001</v>
      </c>
      <c r="D570" s="235">
        <v>76.368428472871472</v>
      </c>
      <c r="E570" s="234">
        <f t="shared" si="35"/>
        <v>43.280155000000001</v>
      </c>
      <c r="F570" s="239"/>
      <c r="G570" s="188" t="str">
        <f t="shared" si="36"/>
        <v/>
      </c>
      <c r="H570" s="236" t="str">
        <f t="shared" si="37"/>
        <v/>
      </c>
    </row>
    <row r="571" spans="1:8">
      <c r="A571" s="232">
        <f t="shared" si="34"/>
        <v>569</v>
      </c>
      <c r="B571" s="233">
        <v>46013</v>
      </c>
      <c r="C571" s="234">
        <v>72.247172000000006</v>
      </c>
      <c r="D571" s="235">
        <v>76.368428472871472</v>
      </c>
      <c r="E571" s="234">
        <f t="shared" si="35"/>
        <v>72.247172000000006</v>
      </c>
      <c r="F571" s="239"/>
      <c r="G571" s="188" t="str">
        <f t="shared" si="36"/>
        <v/>
      </c>
      <c r="H571" s="236" t="str">
        <f t="shared" si="37"/>
        <v/>
      </c>
    </row>
    <row r="572" spans="1:8">
      <c r="A572" s="232">
        <f t="shared" si="34"/>
        <v>570</v>
      </c>
      <c r="B572" s="233">
        <v>46014</v>
      </c>
      <c r="C572" s="234">
        <v>45.611167999999999</v>
      </c>
      <c r="D572" s="235">
        <v>76.368428472871472</v>
      </c>
      <c r="E572" s="234">
        <f t="shared" si="35"/>
        <v>45.611167999999999</v>
      </c>
      <c r="F572" s="239"/>
      <c r="G572" s="188" t="str">
        <f t="shared" si="36"/>
        <v/>
      </c>
      <c r="H572" s="236" t="str">
        <f t="shared" si="37"/>
        <v/>
      </c>
    </row>
    <row r="573" spans="1:8">
      <c r="A573" s="232">
        <f t="shared" si="34"/>
        <v>571</v>
      </c>
      <c r="B573" s="233">
        <v>46015</v>
      </c>
      <c r="C573" s="234">
        <v>84.065594000000004</v>
      </c>
      <c r="D573" s="235">
        <v>76.368428472871472</v>
      </c>
      <c r="E573" s="234">
        <f t="shared" si="35"/>
        <v>76.368428472871472</v>
      </c>
      <c r="F573" s="239"/>
      <c r="G573" s="188" t="str">
        <f t="shared" si="36"/>
        <v/>
      </c>
      <c r="H573" s="236" t="str">
        <f t="shared" si="37"/>
        <v/>
      </c>
    </row>
    <row r="574" spans="1:8">
      <c r="A574" s="232">
        <f t="shared" si="34"/>
        <v>572</v>
      </c>
      <c r="B574" s="233">
        <v>46016</v>
      </c>
      <c r="C574" s="234">
        <v>77.139202999999995</v>
      </c>
      <c r="D574" s="235">
        <v>76.368428472871472</v>
      </c>
      <c r="E574" s="234">
        <f t="shared" si="35"/>
        <v>76.368428472871472</v>
      </c>
      <c r="F574" s="239"/>
      <c r="G574" s="188" t="str">
        <f t="shared" si="36"/>
        <v/>
      </c>
      <c r="H574" s="236" t="str">
        <f t="shared" si="37"/>
        <v/>
      </c>
    </row>
    <row r="575" spans="1:8">
      <c r="A575" s="232">
        <f t="shared" si="34"/>
        <v>573</v>
      </c>
      <c r="B575" s="233">
        <v>46017</v>
      </c>
      <c r="C575" s="234">
        <v>89.237429999999989</v>
      </c>
      <c r="D575" s="235">
        <v>76.368428472871472</v>
      </c>
      <c r="E575" s="234">
        <f t="shared" si="35"/>
        <v>76.368428472871472</v>
      </c>
      <c r="F575" s="239"/>
      <c r="G575" s="188" t="str">
        <f t="shared" si="36"/>
        <v/>
      </c>
      <c r="H575" s="236" t="str">
        <f t="shared" si="37"/>
        <v/>
      </c>
    </row>
    <row r="576" spans="1:8">
      <c r="A576" s="232">
        <f t="shared" si="34"/>
        <v>574</v>
      </c>
      <c r="B576" s="233">
        <v>46018</v>
      </c>
      <c r="C576" s="234">
        <v>70.662244000000001</v>
      </c>
      <c r="D576" s="235">
        <v>76.368428472871472</v>
      </c>
      <c r="E576" s="234">
        <f t="shared" si="35"/>
        <v>70.662244000000001</v>
      </c>
      <c r="F576" s="239"/>
      <c r="G576" s="188" t="str">
        <f t="shared" si="36"/>
        <v/>
      </c>
      <c r="H576" s="236" t="str">
        <f t="shared" si="37"/>
        <v/>
      </c>
    </row>
    <row r="577" spans="1:8">
      <c r="A577" s="232">
        <f t="shared" si="34"/>
        <v>575</v>
      </c>
      <c r="B577" s="233">
        <v>46019</v>
      </c>
      <c r="C577" s="234">
        <v>58.842205999999997</v>
      </c>
      <c r="D577" s="235">
        <v>76.368428472871472</v>
      </c>
      <c r="E577" s="234">
        <f t="shared" si="35"/>
        <v>58.842205999999997</v>
      </c>
      <c r="F577" s="239"/>
      <c r="G577" s="188" t="str">
        <f t="shared" si="36"/>
        <v/>
      </c>
      <c r="H577" s="236" t="str">
        <f t="shared" si="37"/>
        <v/>
      </c>
    </row>
    <row r="578" spans="1:8">
      <c r="A578" s="232">
        <f t="shared" si="34"/>
        <v>576</v>
      </c>
      <c r="B578" s="233">
        <v>46020</v>
      </c>
      <c r="C578" s="234">
        <v>98.47831699999999</v>
      </c>
      <c r="D578" s="235">
        <v>76.368428472871472</v>
      </c>
      <c r="E578" s="234">
        <f t="shared" si="35"/>
        <v>76.368428472871472</v>
      </c>
      <c r="F578" s="239"/>
      <c r="G578" s="188" t="str">
        <f t="shared" si="36"/>
        <v/>
      </c>
      <c r="H578" s="236" t="str">
        <f t="shared" si="37"/>
        <v/>
      </c>
    </row>
    <row r="579" spans="1:8">
      <c r="A579" s="232">
        <f t="shared" si="34"/>
        <v>577</v>
      </c>
      <c r="B579" s="233">
        <v>46021</v>
      </c>
      <c r="C579" s="234">
        <v>101.97303199999999</v>
      </c>
      <c r="D579" s="235">
        <v>76.368428472871472</v>
      </c>
      <c r="E579" s="234">
        <f t="shared" si="35"/>
        <v>76.368428472871472</v>
      </c>
      <c r="F579" s="239"/>
      <c r="G579" s="188" t="str">
        <f t="shared" si="36"/>
        <v/>
      </c>
      <c r="H579" s="236" t="str">
        <f t="shared" si="37"/>
        <v/>
      </c>
    </row>
    <row r="580" spans="1:8">
      <c r="A580" s="232">
        <f t="shared" ref="A580:A643" si="38">+A579+1</f>
        <v>578</v>
      </c>
      <c r="B580" s="233">
        <v>46022</v>
      </c>
      <c r="C580" s="234">
        <v>94.310289999999995</v>
      </c>
      <c r="D580" s="235">
        <v>76.368428472871472</v>
      </c>
      <c r="E580" s="234">
        <f t="shared" ref="E580:E643" si="39">IF(C580&gt;D580,D580,C580)</f>
        <v>76.368428472871472</v>
      </c>
      <c r="F580" s="239"/>
      <c r="G580" s="188" t="str">
        <f t="shared" ref="G580:G643" si="40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  <c r="H580" s="236" t="str">
        <f t="shared" ref="H580:H643" si="41">IF(DAY($B580)=15,TEXT(D580,"#,0"),"")</f>
        <v/>
      </c>
    </row>
    <row r="581" spans="1:8">
      <c r="A581" s="232">
        <f t="shared" si="38"/>
        <v>579</v>
      </c>
      <c r="B581" s="233">
        <v>46023</v>
      </c>
      <c r="C581" s="234">
        <v>40.071273999999995</v>
      </c>
      <c r="D581" s="235">
        <v>112.34807184063162</v>
      </c>
      <c r="E581" s="234">
        <f t="shared" si="39"/>
        <v>40.071273999999995</v>
      </c>
      <c r="F581" s="237">
        <f>YEAR(B581)</f>
        <v>2026</v>
      </c>
      <c r="G581" s="188" t="str">
        <f t="shared" si="40"/>
        <v/>
      </c>
      <c r="H581" s="236" t="str">
        <f t="shared" si="41"/>
        <v/>
      </c>
    </row>
    <row r="582" spans="1:8">
      <c r="A582" s="232">
        <f t="shared" si="38"/>
        <v>580</v>
      </c>
      <c r="B582" s="233">
        <v>46024</v>
      </c>
      <c r="C582" s="234">
        <v>40.543119000000004</v>
      </c>
      <c r="D582" s="235">
        <v>112.34807184063162</v>
      </c>
      <c r="E582" s="234">
        <f t="shared" si="39"/>
        <v>40.543119000000004</v>
      </c>
      <c r="F582" s="237"/>
      <c r="G582" s="188" t="str">
        <f t="shared" si="40"/>
        <v/>
      </c>
      <c r="H582" s="236" t="str">
        <f t="shared" si="41"/>
        <v/>
      </c>
    </row>
    <row r="583" spans="1:8">
      <c r="A583" s="232">
        <f t="shared" si="38"/>
        <v>581</v>
      </c>
      <c r="B583" s="233">
        <v>46025</v>
      </c>
      <c r="C583" s="234">
        <v>35.889093000000003</v>
      </c>
      <c r="D583" s="235">
        <v>112.34807184063162</v>
      </c>
      <c r="E583" s="234">
        <f t="shared" si="39"/>
        <v>35.889093000000003</v>
      </c>
      <c r="F583" s="239"/>
      <c r="G583" s="188" t="str">
        <f t="shared" si="40"/>
        <v/>
      </c>
      <c r="H583" s="236" t="str">
        <f t="shared" si="41"/>
        <v/>
      </c>
    </row>
    <row r="584" spans="1:8">
      <c r="A584" s="232">
        <f t="shared" si="38"/>
        <v>582</v>
      </c>
      <c r="B584" s="233">
        <v>46026</v>
      </c>
      <c r="C584" s="234">
        <v>42.185986</v>
      </c>
      <c r="D584" s="235">
        <v>112.34807184063162</v>
      </c>
      <c r="E584" s="234">
        <f t="shared" si="39"/>
        <v>42.185986</v>
      </c>
      <c r="F584" s="239"/>
      <c r="G584" s="188" t="str">
        <f t="shared" si="40"/>
        <v/>
      </c>
      <c r="H584" s="236" t="str">
        <f t="shared" si="41"/>
        <v/>
      </c>
    </row>
    <row r="585" spans="1:8">
      <c r="A585" s="232">
        <f t="shared" si="38"/>
        <v>583</v>
      </c>
      <c r="B585" s="233">
        <v>46027</v>
      </c>
      <c r="C585" s="234">
        <v>73.835945000000009</v>
      </c>
      <c r="D585" s="235">
        <v>112.34807184063162</v>
      </c>
      <c r="E585" s="234">
        <f t="shared" si="39"/>
        <v>73.835945000000009</v>
      </c>
      <c r="F585" s="239"/>
      <c r="G585" s="188" t="str">
        <f t="shared" si="40"/>
        <v/>
      </c>
      <c r="H585" s="236" t="str">
        <f t="shared" si="41"/>
        <v/>
      </c>
    </row>
    <row r="586" spans="1:8">
      <c r="A586" s="232">
        <f t="shared" si="38"/>
        <v>584</v>
      </c>
      <c r="B586" s="233">
        <v>46028</v>
      </c>
      <c r="C586" s="234">
        <v>112.92407700000001</v>
      </c>
      <c r="D586" s="235">
        <v>112.34807184063162</v>
      </c>
      <c r="E586" s="234">
        <f t="shared" si="39"/>
        <v>112.34807184063162</v>
      </c>
      <c r="F586" s="239"/>
      <c r="G586" s="188" t="str">
        <f t="shared" si="40"/>
        <v/>
      </c>
      <c r="H586" s="236" t="str">
        <f t="shared" si="41"/>
        <v/>
      </c>
    </row>
    <row r="587" spans="1:8">
      <c r="A587" s="232">
        <f t="shared" si="38"/>
        <v>585</v>
      </c>
      <c r="B587" s="233">
        <v>46029</v>
      </c>
      <c r="C587" s="234">
        <v>90.300467999999995</v>
      </c>
      <c r="D587" s="235">
        <v>112.34807184063162</v>
      </c>
      <c r="E587" s="234">
        <f t="shared" si="39"/>
        <v>90.300467999999995</v>
      </c>
      <c r="F587" s="239"/>
      <c r="G587" s="188" t="str">
        <f t="shared" si="40"/>
        <v/>
      </c>
      <c r="H587" s="236" t="str">
        <f t="shared" si="41"/>
        <v/>
      </c>
    </row>
    <row r="588" spans="1:8">
      <c r="A588" s="232">
        <f t="shared" si="38"/>
        <v>586</v>
      </c>
      <c r="B588" s="233">
        <v>46030</v>
      </c>
      <c r="C588" s="234">
        <v>68.812692000000013</v>
      </c>
      <c r="D588" s="235">
        <v>112.34807184063162</v>
      </c>
      <c r="E588" s="234">
        <f t="shared" si="39"/>
        <v>68.812692000000013</v>
      </c>
      <c r="F588" s="239"/>
      <c r="G588" s="188" t="str">
        <f t="shared" si="40"/>
        <v/>
      </c>
      <c r="H588" s="236" t="str">
        <f t="shared" si="41"/>
        <v/>
      </c>
    </row>
    <row r="589" spans="1:8">
      <c r="A589" s="232">
        <f t="shared" si="38"/>
        <v>587</v>
      </c>
      <c r="B589" s="233">
        <v>46031</v>
      </c>
      <c r="C589" s="234">
        <v>75.99363000000001</v>
      </c>
      <c r="D589" s="235">
        <v>112.34807184063162</v>
      </c>
      <c r="E589" s="234">
        <f t="shared" si="39"/>
        <v>75.99363000000001</v>
      </c>
      <c r="F589" s="239"/>
      <c r="G589" s="188" t="str">
        <f t="shared" si="40"/>
        <v/>
      </c>
      <c r="H589" s="236" t="str">
        <f t="shared" si="41"/>
        <v/>
      </c>
    </row>
    <row r="590" spans="1:8">
      <c r="A590" s="232">
        <f t="shared" si="38"/>
        <v>588</v>
      </c>
      <c r="B590" s="233">
        <v>46032</v>
      </c>
      <c r="C590" s="234">
        <v>114.840307</v>
      </c>
      <c r="D590" s="235">
        <v>112.34807184063162</v>
      </c>
      <c r="E590" s="234">
        <f t="shared" si="39"/>
        <v>112.34807184063162</v>
      </c>
      <c r="F590" s="239"/>
      <c r="G590" s="188" t="str">
        <f t="shared" si="40"/>
        <v/>
      </c>
      <c r="H590" s="236" t="str">
        <f t="shared" si="41"/>
        <v/>
      </c>
    </row>
    <row r="591" spans="1:8">
      <c r="A591" s="232">
        <f t="shared" si="38"/>
        <v>589</v>
      </c>
      <c r="B591" s="233">
        <v>46033</v>
      </c>
      <c r="C591" s="234">
        <v>116.74641099999999</v>
      </c>
      <c r="D591" s="235">
        <v>112.34807184063162</v>
      </c>
      <c r="E591" s="234">
        <f t="shared" si="39"/>
        <v>112.34807184063162</v>
      </c>
      <c r="F591" s="239"/>
      <c r="G591" s="188" t="str">
        <f t="shared" si="40"/>
        <v/>
      </c>
      <c r="H591" s="236" t="str">
        <f t="shared" si="41"/>
        <v/>
      </c>
    </row>
    <row r="592" spans="1:8">
      <c r="A592" s="232">
        <f t="shared" si="38"/>
        <v>590</v>
      </c>
      <c r="B592" s="233">
        <v>46034</v>
      </c>
      <c r="C592" s="234">
        <v>106.844781</v>
      </c>
      <c r="D592" s="235">
        <v>112.34807184063162</v>
      </c>
      <c r="E592" s="234">
        <f t="shared" si="39"/>
        <v>106.844781</v>
      </c>
      <c r="F592" s="239"/>
      <c r="G592" s="188" t="str">
        <f t="shared" si="40"/>
        <v/>
      </c>
      <c r="H592" s="236" t="str">
        <f t="shared" si="41"/>
        <v/>
      </c>
    </row>
    <row r="593" spans="1:8">
      <c r="A593" s="232">
        <f t="shared" si="38"/>
        <v>591</v>
      </c>
      <c r="B593" s="233">
        <v>46035</v>
      </c>
      <c r="C593" s="234">
        <v>56.634459999999997</v>
      </c>
      <c r="D593" s="235">
        <v>112.34807184063162</v>
      </c>
      <c r="E593" s="234">
        <f t="shared" si="39"/>
        <v>56.634459999999997</v>
      </c>
      <c r="F593" s="239"/>
      <c r="G593" s="188" t="str">
        <f t="shared" si="40"/>
        <v/>
      </c>
      <c r="H593" s="236" t="str">
        <f t="shared" si="41"/>
        <v/>
      </c>
    </row>
    <row r="594" spans="1:8">
      <c r="A594" s="232">
        <f t="shared" si="38"/>
        <v>592</v>
      </c>
      <c r="B594" s="233">
        <v>46036</v>
      </c>
      <c r="C594" s="234">
        <v>77.872731999999999</v>
      </c>
      <c r="D594" s="235">
        <v>112.34807184063162</v>
      </c>
      <c r="E594" s="234">
        <f t="shared" si="39"/>
        <v>77.872731999999999</v>
      </c>
      <c r="F594" s="239"/>
      <c r="G594" s="188" t="str">
        <f t="shared" si="40"/>
        <v/>
      </c>
      <c r="H594" s="236" t="str">
        <f t="shared" si="41"/>
        <v/>
      </c>
    </row>
    <row r="595" spans="1:8">
      <c r="A595" s="232">
        <f t="shared" si="38"/>
        <v>593</v>
      </c>
      <c r="B595" s="233">
        <v>46037</v>
      </c>
      <c r="C595" s="234">
        <v>69.918723</v>
      </c>
      <c r="D595" s="235">
        <v>112.34807184063162</v>
      </c>
      <c r="E595" s="234">
        <f t="shared" si="39"/>
        <v>69.918723</v>
      </c>
      <c r="F595" s="239"/>
      <c r="G595" s="188" t="str">
        <f t="shared" si="40"/>
        <v>E</v>
      </c>
      <c r="H595" s="236" t="str">
        <f t="shared" si="41"/>
        <v>112,3</v>
      </c>
    </row>
    <row r="596" spans="1:8">
      <c r="A596" s="232">
        <f t="shared" si="38"/>
        <v>594</v>
      </c>
      <c r="B596" s="233">
        <v>46038</v>
      </c>
      <c r="C596" s="234">
        <v>67.541835000000006</v>
      </c>
      <c r="D596" s="235">
        <v>112.34807184063162</v>
      </c>
      <c r="E596" s="234">
        <f t="shared" si="39"/>
        <v>67.541835000000006</v>
      </c>
      <c r="F596" s="239"/>
      <c r="G596" s="188" t="str">
        <f t="shared" si="40"/>
        <v/>
      </c>
      <c r="H596" s="236" t="str">
        <f t="shared" si="41"/>
        <v/>
      </c>
    </row>
    <row r="597" spans="1:8">
      <c r="A597" s="232">
        <f t="shared" si="38"/>
        <v>595</v>
      </c>
      <c r="B597" s="233">
        <v>46039</v>
      </c>
      <c r="C597" s="234">
        <v>69.613529000000014</v>
      </c>
      <c r="D597" s="235">
        <v>112.34807184063162</v>
      </c>
      <c r="E597" s="234">
        <f t="shared" si="39"/>
        <v>69.613529000000014</v>
      </c>
      <c r="F597" s="239"/>
      <c r="G597" s="188" t="str">
        <f t="shared" si="40"/>
        <v/>
      </c>
      <c r="H597" s="236" t="str">
        <f t="shared" si="41"/>
        <v/>
      </c>
    </row>
    <row r="598" spans="1:8">
      <c r="A598" s="232">
        <f t="shared" si="38"/>
        <v>596</v>
      </c>
      <c r="B598" s="233">
        <v>46040</v>
      </c>
      <c r="C598" s="234">
        <v>107.87838299999999</v>
      </c>
      <c r="D598" s="235">
        <v>112.34807184063162</v>
      </c>
      <c r="E598" s="234">
        <f t="shared" si="39"/>
        <v>107.87838299999999</v>
      </c>
      <c r="F598" s="239"/>
      <c r="G598" s="188" t="str">
        <f t="shared" si="40"/>
        <v/>
      </c>
      <c r="H598" s="236" t="str">
        <f t="shared" si="41"/>
        <v/>
      </c>
    </row>
    <row r="599" spans="1:8">
      <c r="A599" s="232">
        <f t="shared" si="38"/>
        <v>597</v>
      </c>
      <c r="B599" s="233">
        <v>46041</v>
      </c>
      <c r="C599" s="234">
        <v>109.66386600000001</v>
      </c>
      <c r="D599" s="235">
        <v>112.34807184063162</v>
      </c>
      <c r="E599" s="234">
        <f t="shared" si="39"/>
        <v>109.66386600000001</v>
      </c>
      <c r="F599" s="239"/>
      <c r="G599" s="188" t="str">
        <f t="shared" si="40"/>
        <v/>
      </c>
      <c r="H599" s="236" t="str">
        <f t="shared" si="41"/>
        <v/>
      </c>
    </row>
    <row r="600" spans="1:8">
      <c r="A600" s="232">
        <f t="shared" si="38"/>
        <v>598</v>
      </c>
      <c r="B600" s="233">
        <v>46042</v>
      </c>
      <c r="C600" s="234">
        <v>114.218214</v>
      </c>
      <c r="D600" s="235">
        <v>112.34807184063162</v>
      </c>
      <c r="E600" s="234">
        <f t="shared" si="39"/>
        <v>112.34807184063162</v>
      </c>
      <c r="F600" s="239"/>
      <c r="G600" s="188" t="str">
        <f t="shared" si="40"/>
        <v/>
      </c>
      <c r="H600" s="236" t="str">
        <f t="shared" si="41"/>
        <v/>
      </c>
    </row>
    <row r="601" spans="1:8">
      <c r="A601" s="232">
        <f t="shared" si="38"/>
        <v>599</v>
      </c>
      <c r="B601" s="233">
        <v>46043</v>
      </c>
      <c r="C601" s="234">
        <v>38.613664</v>
      </c>
      <c r="D601" s="235">
        <v>112.34807184063162</v>
      </c>
      <c r="E601" s="234">
        <f t="shared" si="39"/>
        <v>38.613664</v>
      </c>
      <c r="F601" s="239"/>
      <c r="G601" s="188" t="str">
        <f t="shared" si="40"/>
        <v/>
      </c>
      <c r="H601" s="236" t="str">
        <f t="shared" si="41"/>
        <v/>
      </c>
    </row>
    <row r="602" spans="1:8">
      <c r="A602" s="232">
        <f t="shared" si="38"/>
        <v>600</v>
      </c>
      <c r="B602" s="233">
        <v>46044</v>
      </c>
      <c r="C602" s="234">
        <v>70.463207999999995</v>
      </c>
      <c r="D602" s="235">
        <v>112.34807184063162</v>
      </c>
      <c r="E602" s="234">
        <f t="shared" si="39"/>
        <v>70.463207999999995</v>
      </c>
      <c r="F602" s="239"/>
      <c r="G602" s="188" t="str">
        <f t="shared" si="40"/>
        <v/>
      </c>
      <c r="H602" s="236" t="str">
        <f t="shared" si="41"/>
        <v/>
      </c>
    </row>
    <row r="603" spans="1:8">
      <c r="A603" s="232">
        <f t="shared" si="38"/>
        <v>601</v>
      </c>
      <c r="B603" s="233">
        <v>46045</v>
      </c>
      <c r="C603" s="234">
        <v>85.475232999999989</v>
      </c>
      <c r="D603" s="235">
        <v>112.34807184063162</v>
      </c>
      <c r="E603" s="234">
        <f t="shared" si="39"/>
        <v>85.475232999999989</v>
      </c>
      <c r="F603" s="239"/>
      <c r="G603" s="188" t="str">
        <f t="shared" si="40"/>
        <v/>
      </c>
      <c r="H603" s="236" t="str">
        <f t="shared" si="41"/>
        <v/>
      </c>
    </row>
    <row r="604" spans="1:8">
      <c r="A604" s="232">
        <f t="shared" si="38"/>
        <v>602</v>
      </c>
      <c r="B604" s="233">
        <v>46046</v>
      </c>
      <c r="C604" s="234">
        <v>79.723697999999999</v>
      </c>
      <c r="D604" s="235">
        <v>112.34807184063162</v>
      </c>
      <c r="E604" s="234">
        <f t="shared" si="39"/>
        <v>79.723697999999999</v>
      </c>
      <c r="F604" s="239"/>
      <c r="G604" s="188" t="str">
        <f t="shared" si="40"/>
        <v/>
      </c>
      <c r="H604" s="236" t="str">
        <f t="shared" si="41"/>
        <v/>
      </c>
    </row>
    <row r="605" spans="1:8">
      <c r="A605" s="232">
        <f t="shared" si="38"/>
        <v>603</v>
      </c>
      <c r="B605" s="233">
        <v>46047</v>
      </c>
      <c r="C605" s="234">
        <v>55.798473000000001</v>
      </c>
      <c r="D605" s="235">
        <v>112.34807184063162</v>
      </c>
      <c r="E605" s="234">
        <f t="shared" si="39"/>
        <v>55.798473000000001</v>
      </c>
      <c r="F605" s="239"/>
      <c r="G605" s="188" t="str">
        <f t="shared" si="40"/>
        <v/>
      </c>
      <c r="H605" s="236" t="str">
        <f t="shared" si="41"/>
        <v/>
      </c>
    </row>
    <row r="606" spans="1:8">
      <c r="A606" s="232">
        <f t="shared" si="38"/>
        <v>604</v>
      </c>
      <c r="B606" s="233">
        <v>46048</v>
      </c>
      <c r="C606" s="234">
        <v>40.743274</v>
      </c>
      <c r="D606" s="235">
        <v>112.34807184063162</v>
      </c>
      <c r="E606" s="234">
        <f t="shared" si="39"/>
        <v>40.743274</v>
      </c>
      <c r="F606" s="239"/>
      <c r="G606" s="188" t="str">
        <f t="shared" si="40"/>
        <v/>
      </c>
      <c r="H606" s="236" t="str">
        <f t="shared" si="41"/>
        <v/>
      </c>
    </row>
    <row r="607" spans="1:8">
      <c r="A607" s="232">
        <f t="shared" si="38"/>
        <v>605</v>
      </c>
      <c r="B607" s="233">
        <v>46049</v>
      </c>
      <c r="C607" s="234">
        <v>55.993585999999993</v>
      </c>
      <c r="D607" s="235">
        <v>112.34807184063162</v>
      </c>
      <c r="E607" s="234">
        <f t="shared" si="39"/>
        <v>55.993585999999993</v>
      </c>
      <c r="F607" s="239"/>
      <c r="G607" s="188" t="str">
        <f t="shared" si="40"/>
        <v/>
      </c>
      <c r="H607" s="236" t="str">
        <f t="shared" si="41"/>
        <v/>
      </c>
    </row>
    <row r="608" spans="1:8">
      <c r="A608" s="232">
        <f t="shared" si="38"/>
        <v>606</v>
      </c>
      <c r="B608" s="233">
        <v>46050</v>
      </c>
      <c r="C608" s="234">
        <v>54.458033999999998</v>
      </c>
      <c r="D608" s="235">
        <v>112.34807184063162</v>
      </c>
      <c r="E608" s="234">
        <f t="shared" si="39"/>
        <v>54.458033999999998</v>
      </c>
      <c r="F608" s="239"/>
      <c r="G608" s="188" t="str">
        <f t="shared" si="40"/>
        <v/>
      </c>
      <c r="H608" s="236" t="str">
        <f t="shared" si="41"/>
        <v/>
      </c>
    </row>
    <row r="609" spans="1:8">
      <c r="A609" s="232">
        <f t="shared" si="38"/>
        <v>607</v>
      </c>
      <c r="B609" s="233">
        <v>46051</v>
      </c>
      <c r="C609" s="234">
        <v>37.721866999999996</v>
      </c>
      <c r="D609" s="235">
        <v>112.34807184063162</v>
      </c>
      <c r="E609" s="234">
        <f t="shared" si="39"/>
        <v>37.721866999999996</v>
      </c>
      <c r="F609" s="239"/>
      <c r="G609" s="188" t="str">
        <f t="shared" si="40"/>
        <v/>
      </c>
      <c r="H609" s="236" t="str">
        <f t="shared" si="41"/>
        <v/>
      </c>
    </row>
    <row r="610" spans="1:8">
      <c r="A610" s="232">
        <f t="shared" si="38"/>
        <v>608</v>
      </c>
      <c r="B610" s="233">
        <v>46052</v>
      </c>
      <c r="C610" s="234">
        <v>56.599505999999998</v>
      </c>
      <c r="D610" s="235">
        <v>112.34807184063162</v>
      </c>
      <c r="E610" s="234">
        <f t="shared" si="39"/>
        <v>56.599505999999998</v>
      </c>
      <c r="F610" s="239"/>
      <c r="G610" s="188" t="str">
        <f t="shared" si="40"/>
        <v/>
      </c>
      <c r="H610" s="236" t="str">
        <f t="shared" si="41"/>
        <v/>
      </c>
    </row>
    <row r="611" spans="1:8">
      <c r="A611" s="232">
        <f t="shared" si="38"/>
        <v>609</v>
      </c>
      <c r="B611" s="233">
        <v>46053</v>
      </c>
      <c r="C611" s="234">
        <v>68.274581999999995</v>
      </c>
      <c r="D611" s="235">
        <v>112.34807184063162</v>
      </c>
      <c r="E611" s="234">
        <f t="shared" si="39"/>
        <v>68.274581999999995</v>
      </c>
      <c r="F611" s="239"/>
      <c r="G611" s="188" t="str">
        <f t="shared" si="40"/>
        <v/>
      </c>
      <c r="H611" s="236" t="str">
        <f t="shared" si="41"/>
        <v/>
      </c>
    </row>
    <row r="612" spans="1:8">
      <c r="A612" s="232">
        <f t="shared" si="38"/>
        <v>610</v>
      </c>
      <c r="B612" s="233">
        <v>46054</v>
      </c>
      <c r="C612" s="234">
        <v>48.223042</v>
      </c>
      <c r="D612" s="235">
        <v>150.49448844659543</v>
      </c>
      <c r="E612" s="234">
        <f t="shared" si="39"/>
        <v>48.223042</v>
      </c>
      <c r="F612" s="237"/>
      <c r="G612" s="188" t="str">
        <f t="shared" si="40"/>
        <v/>
      </c>
      <c r="H612" s="236" t="str">
        <f t="shared" si="41"/>
        <v/>
      </c>
    </row>
    <row r="613" spans="1:8">
      <c r="A613" s="232">
        <f t="shared" si="38"/>
        <v>611</v>
      </c>
      <c r="B613" s="233">
        <v>46055</v>
      </c>
      <c r="C613" s="234">
        <v>53.247691000000003</v>
      </c>
      <c r="D613" s="235">
        <v>150.49448844659543</v>
      </c>
      <c r="E613" s="234">
        <f t="shared" si="39"/>
        <v>53.247691000000003</v>
      </c>
      <c r="F613" s="237"/>
      <c r="G613" s="188" t="str">
        <f t="shared" si="40"/>
        <v/>
      </c>
      <c r="H613" s="236" t="str">
        <f t="shared" si="41"/>
        <v/>
      </c>
    </row>
    <row r="614" spans="1:8">
      <c r="A614" s="232">
        <f t="shared" si="38"/>
        <v>612</v>
      </c>
      <c r="B614" s="233">
        <v>46056</v>
      </c>
      <c r="C614" s="234">
        <v>71.629503</v>
      </c>
      <c r="D614" s="235">
        <v>150.49448844659543</v>
      </c>
      <c r="E614" s="234">
        <f t="shared" si="39"/>
        <v>71.629503</v>
      </c>
      <c r="F614" s="239"/>
      <c r="G614" s="188" t="str">
        <f t="shared" si="40"/>
        <v/>
      </c>
      <c r="H614" s="236" t="str">
        <f t="shared" si="41"/>
        <v/>
      </c>
    </row>
    <row r="615" spans="1:8">
      <c r="A615" s="232">
        <f t="shared" si="38"/>
        <v>613</v>
      </c>
      <c r="B615" s="233">
        <v>46057</v>
      </c>
      <c r="C615" s="234">
        <v>36.237599000000003</v>
      </c>
      <c r="D615" s="235">
        <v>150.49448844659543</v>
      </c>
      <c r="E615" s="234">
        <f t="shared" si="39"/>
        <v>36.237599000000003</v>
      </c>
      <c r="F615" s="239"/>
      <c r="G615" s="188" t="str">
        <f t="shared" si="40"/>
        <v/>
      </c>
      <c r="H615" s="236" t="str">
        <f t="shared" si="41"/>
        <v/>
      </c>
    </row>
    <row r="616" spans="1:8">
      <c r="A616" s="232">
        <f t="shared" si="38"/>
        <v>614</v>
      </c>
      <c r="B616" s="233">
        <v>46058</v>
      </c>
      <c r="C616" s="234">
        <v>58.408900000000003</v>
      </c>
      <c r="D616" s="235">
        <v>150.49448844659543</v>
      </c>
      <c r="E616" s="234">
        <f t="shared" si="39"/>
        <v>58.408900000000003</v>
      </c>
      <c r="F616" s="239"/>
      <c r="G616" s="188" t="str">
        <f t="shared" si="40"/>
        <v/>
      </c>
      <c r="H616" s="236" t="str">
        <f t="shared" si="41"/>
        <v/>
      </c>
    </row>
    <row r="617" spans="1:8">
      <c r="A617" s="232">
        <f t="shared" si="38"/>
        <v>615</v>
      </c>
      <c r="B617" s="233">
        <v>46059</v>
      </c>
      <c r="C617" s="234">
        <v>69.797329999999988</v>
      </c>
      <c r="D617" s="235">
        <v>150.49448844659543</v>
      </c>
      <c r="E617" s="234">
        <f t="shared" si="39"/>
        <v>69.797329999999988</v>
      </c>
      <c r="F617" s="239"/>
      <c r="G617" s="188" t="str">
        <f t="shared" si="40"/>
        <v/>
      </c>
      <c r="H617" s="236" t="str">
        <f t="shared" si="41"/>
        <v/>
      </c>
    </row>
    <row r="618" spans="1:8">
      <c r="A618" s="232">
        <f t="shared" si="38"/>
        <v>616</v>
      </c>
      <c r="B618" s="233">
        <v>46060</v>
      </c>
      <c r="C618" s="234">
        <v>42.754641000000007</v>
      </c>
      <c r="D618" s="235">
        <v>150.49448844659543</v>
      </c>
      <c r="E618" s="234">
        <f t="shared" si="39"/>
        <v>42.754641000000007</v>
      </c>
      <c r="F618" s="239"/>
      <c r="G618" s="188" t="str">
        <f t="shared" si="40"/>
        <v/>
      </c>
      <c r="H618" s="236" t="str">
        <f t="shared" si="41"/>
        <v/>
      </c>
    </row>
    <row r="619" spans="1:8">
      <c r="A619" s="232">
        <f t="shared" si="38"/>
        <v>617</v>
      </c>
      <c r="B619" s="233">
        <v>46061</v>
      </c>
      <c r="C619" s="234">
        <v>60.751535000000004</v>
      </c>
      <c r="D619" s="235">
        <v>150.49448844659543</v>
      </c>
      <c r="E619" s="234">
        <f t="shared" si="39"/>
        <v>60.751535000000004</v>
      </c>
      <c r="F619" s="239"/>
      <c r="G619" s="188" t="str">
        <f t="shared" si="40"/>
        <v/>
      </c>
      <c r="H619" s="236" t="str">
        <f t="shared" si="41"/>
        <v/>
      </c>
    </row>
    <row r="620" spans="1:8">
      <c r="A620" s="232">
        <f t="shared" si="38"/>
        <v>618</v>
      </c>
      <c r="B620" s="233">
        <v>46062</v>
      </c>
      <c r="C620" s="234">
        <v>56.420782000000003</v>
      </c>
      <c r="D620" s="235">
        <v>150.49448844659543</v>
      </c>
      <c r="E620" s="234">
        <f t="shared" si="39"/>
        <v>56.420782000000003</v>
      </c>
      <c r="F620" s="239"/>
      <c r="G620" s="188" t="str">
        <f t="shared" si="40"/>
        <v/>
      </c>
      <c r="H620" s="236" t="str">
        <f t="shared" si="41"/>
        <v/>
      </c>
    </row>
    <row r="621" spans="1:8">
      <c r="A621" s="232">
        <f t="shared" si="38"/>
        <v>619</v>
      </c>
      <c r="B621" s="233">
        <v>46063</v>
      </c>
      <c r="C621" s="234">
        <v>42.805059</v>
      </c>
      <c r="D621" s="235">
        <v>150.49448844659543</v>
      </c>
      <c r="E621" s="234">
        <f t="shared" si="39"/>
        <v>42.805059</v>
      </c>
      <c r="F621" s="239"/>
      <c r="G621" s="188" t="str">
        <f t="shared" si="40"/>
        <v/>
      </c>
      <c r="H621" s="236" t="str">
        <f t="shared" si="41"/>
        <v/>
      </c>
    </row>
    <row r="622" spans="1:8">
      <c r="A622" s="232">
        <f t="shared" si="38"/>
        <v>620</v>
      </c>
      <c r="B622" s="233">
        <v>46064</v>
      </c>
      <c r="C622" s="234">
        <v>39.969307000000001</v>
      </c>
      <c r="D622" s="235">
        <v>150.49448844659543</v>
      </c>
      <c r="E622" s="234">
        <f t="shared" si="39"/>
        <v>39.969307000000001</v>
      </c>
      <c r="F622" s="239"/>
      <c r="G622" s="188" t="str">
        <f t="shared" si="40"/>
        <v/>
      </c>
      <c r="H622" s="236" t="str">
        <f t="shared" si="41"/>
        <v/>
      </c>
    </row>
    <row r="623" spans="1:8">
      <c r="A623" s="232">
        <f t="shared" si="38"/>
        <v>621</v>
      </c>
      <c r="B623" s="233">
        <v>46065</v>
      </c>
      <c r="C623" s="234">
        <v>80.122593999999992</v>
      </c>
      <c r="D623" s="235">
        <v>150.49448844659543</v>
      </c>
      <c r="E623" s="234">
        <f t="shared" si="39"/>
        <v>80.122593999999992</v>
      </c>
      <c r="F623" s="239"/>
      <c r="G623" s="188" t="str">
        <f t="shared" si="40"/>
        <v/>
      </c>
      <c r="H623" s="236" t="str">
        <f t="shared" si="41"/>
        <v/>
      </c>
    </row>
    <row r="624" spans="1:8">
      <c r="A624" s="232">
        <f t="shared" si="38"/>
        <v>622</v>
      </c>
      <c r="B624" s="233">
        <v>46066</v>
      </c>
      <c r="C624" s="234">
        <v>65.337278999999995</v>
      </c>
      <c r="D624" s="235">
        <v>150.49448844659543</v>
      </c>
      <c r="E624" s="234">
        <f t="shared" si="39"/>
        <v>65.337278999999995</v>
      </c>
      <c r="F624" s="239"/>
      <c r="G624" s="188" t="str">
        <f t="shared" si="40"/>
        <v/>
      </c>
      <c r="H624" s="236" t="str">
        <f t="shared" si="41"/>
        <v/>
      </c>
    </row>
    <row r="625" spans="1:8">
      <c r="A625" s="232">
        <f t="shared" si="38"/>
        <v>623</v>
      </c>
      <c r="B625" s="233">
        <v>46067</v>
      </c>
      <c r="C625" s="234">
        <v>88.341304999999991</v>
      </c>
      <c r="D625" s="235">
        <v>150.49448844659543</v>
      </c>
      <c r="E625" s="234">
        <f t="shared" si="39"/>
        <v>88.341304999999991</v>
      </c>
      <c r="F625" s="239"/>
      <c r="G625" s="188" t="str">
        <f t="shared" si="40"/>
        <v/>
      </c>
      <c r="H625" s="236" t="str">
        <f t="shared" si="41"/>
        <v/>
      </c>
    </row>
    <row r="626" spans="1:8">
      <c r="A626" s="232">
        <f t="shared" si="38"/>
        <v>624</v>
      </c>
      <c r="B626" s="233">
        <v>46068</v>
      </c>
      <c r="C626" s="234">
        <v>80.228186000000008</v>
      </c>
      <c r="D626" s="235">
        <v>150.49448844659543</v>
      </c>
      <c r="E626" s="234">
        <f t="shared" si="39"/>
        <v>80.228186000000008</v>
      </c>
      <c r="F626" s="239"/>
      <c r="G626" s="188" t="str">
        <f t="shared" si="40"/>
        <v>F</v>
      </c>
      <c r="H626" s="236" t="str">
        <f t="shared" si="41"/>
        <v>150,5</v>
      </c>
    </row>
    <row r="627" spans="1:8">
      <c r="A627" s="232">
        <f t="shared" si="38"/>
        <v>625</v>
      </c>
      <c r="B627" s="233">
        <v>46069</v>
      </c>
      <c r="C627" s="234">
        <v>75.864009999999993</v>
      </c>
      <c r="D627" s="235">
        <v>150.49448844659543</v>
      </c>
      <c r="E627" s="234">
        <f t="shared" si="39"/>
        <v>75.864009999999993</v>
      </c>
      <c r="F627" s="239"/>
      <c r="G627" s="188" t="str">
        <f t="shared" si="40"/>
        <v/>
      </c>
      <c r="H627" s="236" t="str">
        <f t="shared" si="41"/>
        <v/>
      </c>
    </row>
    <row r="628" spans="1:8">
      <c r="A628" s="232">
        <f t="shared" si="38"/>
        <v>626</v>
      </c>
      <c r="B628" s="233">
        <v>46070</v>
      </c>
      <c r="C628" s="234">
        <v>102.410545</v>
      </c>
      <c r="D628" s="235">
        <v>150.49448844659543</v>
      </c>
      <c r="E628" s="234">
        <f t="shared" si="39"/>
        <v>102.410545</v>
      </c>
      <c r="F628" s="239"/>
      <c r="G628" s="188" t="str">
        <f t="shared" si="40"/>
        <v/>
      </c>
      <c r="H628" s="236" t="str">
        <f t="shared" si="41"/>
        <v/>
      </c>
    </row>
    <row r="629" spans="1:8">
      <c r="A629" s="232">
        <f t="shared" si="38"/>
        <v>627</v>
      </c>
      <c r="B629" s="233">
        <v>46071</v>
      </c>
      <c r="C629" s="234">
        <v>91.605069</v>
      </c>
      <c r="D629" s="235">
        <v>150.49448844659543</v>
      </c>
      <c r="E629" s="234">
        <f t="shared" si="39"/>
        <v>91.605069</v>
      </c>
      <c r="F629" s="239"/>
      <c r="G629" s="188" t="str">
        <f t="shared" si="40"/>
        <v/>
      </c>
      <c r="H629" s="236" t="str">
        <f t="shared" si="41"/>
        <v/>
      </c>
    </row>
    <row r="630" spans="1:8">
      <c r="A630" s="232">
        <f t="shared" si="38"/>
        <v>628</v>
      </c>
      <c r="B630" s="233">
        <v>46072</v>
      </c>
      <c r="C630" s="234">
        <v>112.47807399999999</v>
      </c>
      <c r="D630" s="235">
        <v>150.49448844659543</v>
      </c>
      <c r="E630" s="234">
        <f t="shared" si="39"/>
        <v>112.47807399999999</v>
      </c>
      <c r="F630" s="239"/>
      <c r="G630" s="188" t="str">
        <f t="shared" si="40"/>
        <v/>
      </c>
      <c r="H630" s="236" t="str">
        <f t="shared" si="41"/>
        <v/>
      </c>
    </row>
    <row r="631" spans="1:8">
      <c r="A631" s="232">
        <f t="shared" si="38"/>
        <v>629</v>
      </c>
      <c r="B631" s="233">
        <v>46073</v>
      </c>
      <c r="C631" s="234">
        <v>138.48805300000001</v>
      </c>
      <c r="D631" s="235">
        <v>150.49448844659543</v>
      </c>
      <c r="E631" s="234">
        <f t="shared" si="39"/>
        <v>138.48805300000001</v>
      </c>
      <c r="F631" s="239"/>
      <c r="G631" s="188" t="str">
        <f t="shared" si="40"/>
        <v/>
      </c>
      <c r="H631" s="236" t="str">
        <f t="shared" si="41"/>
        <v/>
      </c>
    </row>
    <row r="632" spans="1:8">
      <c r="A632" s="232">
        <f t="shared" si="38"/>
        <v>630</v>
      </c>
      <c r="B632" s="233">
        <v>46074</v>
      </c>
      <c r="C632" s="234">
        <v>133.999719</v>
      </c>
      <c r="D632" s="235">
        <v>150.49448844659543</v>
      </c>
      <c r="E632" s="234">
        <f t="shared" si="39"/>
        <v>133.999719</v>
      </c>
      <c r="F632" s="239"/>
      <c r="G632" s="188" t="str">
        <f t="shared" si="40"/>
        <v/>
      </c>
      <c r="H632" s="236" t="str">
        <f t="shared" si="41"/>
        <v/>
      </c>
    </row>
    <row r="633" spans="1:8">
      <c r="A633" s="232">
        <f t="shared" si="38"/>
        <v>631</v>
      </c>
      <c r="B633" s="233">
        <v>46075</v>
      </c>
      <c r="C633" s="234">
        <v>124.657213</v>
      </c>
      <c r="D633" s="235">
        <v>150.49448844659543</v>
      </c>
      <c r="E633" s="234">
        <f t="shared" si="39"/>
        <v>124.657213</v>
      </c>
      <c r="F633" s="239"/>
      <c r="G633" s="188" t="str">
        <f t="shared" si="40"/>
        <v/>
      </c>
      <c r="H633" s="236" t="str">
        <f t="shared" si="41"/>
        <v/>
      </c>
    </row>
    <row r="634" spans="1:8">
      <c r="A634" s="232">
        <f t="shared" si="38"/>
        <v>632</v>
      </c>
      <c r="B634" s="233">
        <v>46076</v>
      </c>
      <c r="C634" s="234">
        <v>151.73920100000001</v>
      </c>
      <c r="D634" s="235">
        <v>150.49448844659543</v>
      </c>
      <c r="E634" s="234">
        <f t="shared" si="39"/>
        <v>150.49448844659543</v>
      </c>
      <c r="F634" s="239"/>
      <c r="G634" s="188" t="str">
        <f t="shared" si="40"/>
        <v/>
      </c>
      <c r="H634" s="236" t="str">
        <f t="shared" si="41"/>
        <v/>
      </c>
    </row>
    <row r="635" spans="1:8">
      <c r="A635" s="232">
        <f t="shared" si="38"/>
        <v>633</v>
      </c>
      <c r="B635" s="233">
        <v>46077</v>
      </c>
      <c r="C635" s="234">
        <v>136.862976</v>
      </c>
      <c r="D635" s="235">
        <v>150.49448844659543</v>
      </c>
      <c r="E635" s="234">
        <f t="shared" si="39"/>
        <v>136.862976</v>
      </c>
      <c r="F635" s="239"/>
      <c r="G635" s="188" t="str">
        <f t="shared" si="40"/>
        <v/>
      </c>
      <c r="H635" s="236" t="str">
        <f t="shared" si="41"/>
        <v/>
      </c>
    </row>
    <row r="636" spans="1:8">
      <c r="A636" s="232">
        <f t="shared" si="38"/>
        <v>634</v>
      </c>
      <c r="B636" s="233">
        <v>46078</v>
      </c>
      <c r="C636" s="234">
        <v>127.21051900000001</v>
      </c>
      <c r="D636" s="235">
        <v>150.49448844659543</v>
      </c>
      <c r="E636" s="234">
        <f t="shared" si="39"/>
        <v>127.21051900000001</v>
      </c>
      <c r="F636" s="239"/>
      <c r="G636" s="188" t="str">
        <f t="shared" si="40"/>
        <v/>
      </c>
      <c r="H636" s="236" t="str">
        <f t="shared" si="41"/>
        <v/>
      </c>
    </row>
    <row r="637" spans="1:8">
      <c r="A637" s="232">
        <f t="shared" si="38"/>
        <v>635</v>
      </c>
      <c r="B637" s="233">
        <v>46079</v>
      </c>
      <c r="C637" s="234">
        <v>137.85002799999998</v>
      </c>
      <c r="D637" s="235">
        <v>150.49448844659543</v>
      </c>
      <c r="E637" s="234">
        <f t="shared" si="39"/>
        <v>137.85002799999998</v>
      </c>
      <c r="F637" s="239"/>
      <c r="G637" s="188" t="str">
        <f t="shared" si="40"/>
        <v/>
      </c>
      <c r="H637" s="236" t="str">
        <f t="shared" si="41"/>
        <v/>
      </c>
    </row>
    <row r="638" spans="1:8">
      <c r="A638" s="232">
        <f t="shared" si="38"/>
        <v>636</v>
      </c>
      <c r="B638" s="233">
        <v>46080</v>
      </c>
      <c r="C638" s="234">
        <v>142.03114300000001</v>
      </c>
      <c r="D638" s="235">
        <v>150.49448844659543</v>
      </c>
      <c r="E638" s="234">
        <f t="shared" si="39"/>
        <v>142.03114300000001</v>
      </c>
      <c r="F638" s="239"/>
      <c r="G638" s="188" t="str">
        <f t="shared" si="40"/>
        <v/>
      </c>
      <c r="H638" s="236" t="str">
        <f t="shared" si="41"/>
        <v/>
      </c>
    </row>
    <row r="639" spans="1:8">
      <c r="A639" s="232">
        <f t="shared" si="38"/>
        <v>637</v>
      </c>
      <c r="B639" s="233">
        <v>46081</v>
      </c>
      <c r="C639" s="234">
        <v>139.66417899999999</v>
      </c>
      <c r="D639" s="235">
        <v>150.49448844659543</v>
      </c>
      <c r="E639" s="234">
        <f t="shared" si="39"/>
        <v>139.66417899999999</v>
      </c>
      <c r="F639" s="239"/>
      <c r="G639" s="188" t="str">
        <f t="shared" si="40"/>
        <v/>
      </c>
      <c r="H639" s="236" t="str">
        <f t="shared" si="41"/>
        <v/>
      </c>
    </row>
    <row r="640" spans="1:8">
      <c r="A640" s="232">
        <f t="shared" si="38"/>
        <v>638</v>
      </c>
      <c r="B640" s="233">
        <v>46082</v>
      </c>
      <c r="C640" s="234">
        <v>116.50446799999999</v>
      </c>
      <c r="D640" s="235">
        <v>169.83085550335295</v>
      </c>
      <c r="E640" s="234">
        <f t="shared" si="39"/>
        <v>116.50446799999999</v>
      </c>
      <c r="F640" s="239"/>
      <c r="G640" s="188" t="str">
        <f t="shared" si="40"/>
        <v/>
      </c>
      <c r="H640" s="236" t="str">
        <f t="shared" si="41"/>
        <v/>
      </c>
    </row>
    <row r="641" spans="1:8">
      <c r="A641" s="232">
        <f t="shared" si="38"/>
        <v>639</v>
      </c>
      <c r="B641" s="233">
        <v>46083</v>
      </c>
      <c r="C641" s="234">
        <v>128.420378</v>
      </c>
      <c r="D641" s="235">
        <v>169.83085550335295</v>
      </c>
      <c r="E641" s="234">
        <f t="shared" si="39"/>
        <v>128.420378</v>
      </c>
      <c r="F641" s="239"/>
      <c r="G641" s="188" t="str">
        <f t="shared" si="40"/>
        <v/>
      </c>
      <c r="H641" s="236" t="str">
        <f t="shared" si="41"/>
        <v/>
      </c>
    </row>
    <row r="642" spans="1:8">
      <c r="A642" s="232">
        <f t="shared" si="38"/>
        <v>640</v>
      </c>
      <c r="B642" s="233">
        <v>46084</v>
      </c>
      <c r="C642" s="234">
        <v>112.06968100000002</v>
      </c>
      <c r="D642" s="235">
        <v>169.83085550335295</v>
      </c>
      <c r="E642" s="234">
        <f t="shared" si="39"/>
        <v>112.06968100000002</v>
      </c>
      <c r="F642" s="237"/>
      <c r="G642" s="188" t="str">
        <f t="shared" si="40"/>
        <v/>
      </c>
      <c r="H642" s="236" t="str">
        <f t="shared" si="41"/>
        <v/>
      </c>
    </row>
    <row r="643" spans="1:8">
      <c r="A643" s="232">
        <f t="shared" si="38"/>
        <v>641</v>
      </c>
      <c r="B643" s="233">
        <v>46085</v>
      </c>
      <c r="C643" s="234">
        <v>85.442315000000008</v>
      </c>
      <c r="D643" s="235">
        <v>169.83085550335295</v>
      </c>
      <c r="E643" s="234">
        <f t="shared" si="39"/>
        <v>85.442315000000008</v>
      </c>
      <c r="F643" s="237"/>
      <c r="G643" s="188" t="str">
        <f t="shared" si="40"/>
        <v/>
      </c>
      <c r="H643" s="236" t="str">
        <f t="shared" si="41"/>
        <v/>
      </c>
    </row>
    <row r="644" spans="1:8">
      <c r="A644" s="232">
        <f t="shared" ref="A644:A707" si="42">+A643+1</f>
        <v>642</v>
      </c>
      <c r="B644" s="233">
        <v>46086</v>
      </c>
      <c r="C644" s="234">
        <v>99.145418000000006</v>
      </c>
      <c r="D644" s="235">
        <v>169.83085550335295</v>
      </c>
      <c r="E644" s="234">
        <f t="shared" ref="E644:E707" si="43">IF(C644&gt;D644,D644,C644)</f>
        <v>99.145418000000006</v>
      </c>
      <c r="F644" s="239"/>
      <c r="G644" s="188" t="str">
        <f t="shared" ref="G644:G707" si="44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  <c r="H644" s="236" t="str">
        <f t="shared" ref="H644:H707" si="45">IF(DAY($B644)=15,TEXT(D644,"#,0"),"")</f>
        <v/>
      </c>
    </row>
    <row r="645" spans="1:8">
      <c r="A645" s="232">
        <f t="shared" si="42"/>
        <v>643</v>
      </c>
      <c r="B645" s="233">
        <v>46087</v>
      </c>
      <c r="C645" s="234">
        <v>67.606906000000009</v>
      </c>
      <c r="D645" s="235">
        <v>169.83085550335295</v>
      </c>
      <c r="E645" s="234">
        <f t="shared" si="43"/>
        <v>67.606906000000009</v>
      </c>
      <c r="F645" s="239"/>
      <c r="G645" s="188" t="str">
        <f t="shared" si="44"/>
        <v/>
      </c>
      <c r="H645" s="236" t="str">
        <f t="shared" si="45"/>
        <v/>
      </c>
    </row>
    <row r="646" spans="1:8">
      <c r="A646" s="232">
        <f t="shared" si="42"/>
        <v>644</v>
      </c>
      <c r="B646" s="233">
        <v>46088</v>
      </c>
      <c r="C646" s="234">
        <v>103.151397</v>
      </c>
      <c r="D646" s="235">
        <v>169.83085550335295</v>
      </c>
      <c r="E646" s="234">
        <f t="shared" si="43"/>
        <v>103.151397</v>
      </c>
      <c r="F646" s="239"/>
      <c r="G646" s="188" t="str">
        <f t="shared" si="44"/>
        <v/>
      </c>
      <c r="H646" s="236" t="str">
        <f t="shared" si="45"/>
        <v/>
      </c>
    </row>
    <row r="647" spans="1:8">
      <c r="A647" s="232">
        <f t="shared" si="42"/>
        <v>645</v>
      </c>
      <c r="B647" s="233">
        <v>46089</v>
      </c>
      <c r="C647" s="234">
        <v>124.299683</v>
      </c>
      <c r="D647" s="235">
        <v>169.83085550335295</v>
      </c>
      <c r="E647" s="234">
        <f t="shared" si="43"/>
        <v>124.299683</v>
      </c>
      <c r="F647" s="239"/>
      <c r="G647" s="188" t="str">
        <f t="shared" si="44"/>
        <v/>
      </c>
      <c r="H647" s="236" t="str">
        <f t="shared" si="45"/>
        <v/>
      </c>
    </row>
    <row r="648" spans="1:8">
      <c r="A648" s="232">
        <f t="shared" si="42"/>
        <v>646</v>
      </c>
      <c r="B648" s="233">
        <v>46090</v>
      </c>
      <c r="C648" s="234">
        <v>102.812527</v>
      </c>
      <c r="D648" s="235">
        <v>169.83085550335295</v>
      </c>
      <c r="E648" s="234">
        <f t="shared" si="43"/>
        <v>102.812527</v>
      </c>
      <c r="F648" s="239"/>
      <c r="G648" s="188" t="str">
        <f t="shared" si="44"/>
        <v/>
      </c>
      <c r="H648" s="236" t="str">
        <f t="shared" si="45"/>
        <v/>
      </c>
    </row>
    <row r="649" spans="1:8">
      <c r="A649" s="232">
        <f t="shared" si="42"/>
        <v>647</v>
      </c>
      <c r="B649" s="233">
        <v>46091</v>
      </c>
      <c r="C649" s="234">
        <v>117.948644</v>
      </c>
      <c r="D649" s="235">
        <v>169.83085550335295</v>
      </c>
      <c r="E649" s="234">
        <f t="shared" si="43"/>
        <v>117.948644</v>
      </c>
      <c r="F649" s="239"/>
      <c r="G649" s="188" t="str">
        <f t="shared" si="44"/>
        <v/>
      </c>
      <c r="H649" s="236" t="str">
        <f t="shared" si="45"/>
        <v/>
      </c>
    </row>
    <row r="650" spans="1:8">
      <c r="A650" s="232">
        <f t="shared" si="42"/>
        <v>648</v>
      </c>
      <c r="B650" s="233">
        <v>46092</v>
      </c>
      <c r="C650" s="234">
        <v>176.66373300000001</v>
      </c>
      <c r="D650" s="235">
        <v>169.83085550335295</v>
      </c>
      <c r="E650" s="234">
        <f t="shared" si="43"/>
        <v>169.83085550335295</v>
      </c>
      <c r="F650" s="239"/>
      <c r="G650" s="188" t="str">
        <f t="shared" si="44"/>
        <v/>
      </c>
      <c r="H650" s="236" t="str">
        <f t="shared" si="45"/>
        <v/>
      </c>
    </row>
    <row r="651" spans="1:8">
      <c r="A651" s="232">
        <f t="shared" si="42"/>
        <v>649</v>
      </c>
      <c r="B651" s="233">
        <v>46093</v>
      </c>
      <c r="C651" s="234">
        <v>180.68749299999999</v>
      </c>
      <c r="D651" s="235">
        <v>169.83085550335295</v>
      </c>
      <c r="E651" s="234">
        <f t="shared" si="43"/>
        <v>169.83085550335295</v>
      </c>
      <c r="F651" s="239"/>
      <c r="G651" s="188" t="str">
        <f t="shared" si="44"/>
        <v/>
      </c>
      <c r="H651" s="236" t="str">
        <f t="shared" si="45"/>
        <v/>
      </c>
    </row>
    <row r="652" spans="1:8">
      <c r="A652" s="232">
        <f t="shared" si="42"/>
        <v>650</v>
      </c>
      <c r="B652" s="233">
        <v>46094</v>
      </c>
      <c r="C652" s="234">
        <v>179.094121</v>
      </c>
      <c r="D652" s="235">
        <v>169.83085550335295</v>
      </c>
      <c r="E652" s="234">
        <f t="shared" si="43"/>
        <v>169.83085550335295</v>
      </c>
      <c r="F652" s="239"/>
      <c r="G652" s="188" t="str">
        <f t="shared" si="44"/>
        <v/>
      </c>
      <c r="H652" s="236" t="str">
        <f t="shared" si="45"/>
        <v/>
      </c>
    </row>
    <row r="653" spans="1:8">
      <c r="A653" s="232">
        <f t="shared" si="42"/>
        <v>651</v>
      </c>
      <c r="B653" s="233">
        <v>46095</v>
      </c>
      <c r="C653" s="234">
        <v>89.934914000000006</v>
      </c>
      <c r="D653" s="235">
        <v>169.83085550335295</v>
      </c>
      <c r="E653" s="234">
        <f t="shared" si="43"/>
        <v>89.934914000000006</v>
      </c>
      <c r="F653" s="239"/>
      <c r="G653" s="188" t="str">
        <f t="shared" si="44"/>
        <v/>
      </c>
      <c r="H653" s="236" t="str">
        <f t="shared" si="45"/>
        <v/>
      </c>
    </row>
    <row r="654" spans="1:8">
      <c r="A654" s="232">
        <f t="shared" si="42"/>
        <v>652</v>
      </c>
      <c r="B654" s="233">
        <v>46096</v>
      </c>
      <c r="C654" s="234">
        <v>113.46282099999999</v>
      </c>
      <c r="D654" s="235">
        <v>169.83085550335295</v>
      </c>
      <c r="E654" s="234">
        <f t="shared" si="43"/>
        <v>113.46282099999999</v>
      </c>
      <c r="F654" s="239"/>
      <c r="G654" s="188" t="str">
        <f t="shared" si="44"/>
        <v>M</v>
      </c>
      <c r="H654" s="236" t="str">
        <f t="shared" si="45"/>
        <v>169,8</v>
      </c>
    </row>
    <row r="655" spans="1:8">
      <c r="A655" s="232">
        <f t="shared" si="42"/>
        <v>653</v>
      </c>
      <c r="B655" s="233">
        <v>46097</v>
      </c>
      <c r="C655" s="234">
        <v>173.612562</v>
      </c>
      <c r="D655" s="235">
        <v>169.83085550335295</v>
      </c>
      <c r="E655" s="234">
        <f t="shared" si="43"/>
        <v>169.83085550335295</v>
      </c>
      <c r="F655" s="239"/>
      <c r="G655" s="188" t="str">
        <f t="shared" si="44"/>
        <v/>
      </c>
      <c r="H655" s="236" t="str">
        <f t="shared" si="45"/>
        <v/>
      </c>
    </row>
    <row r="656" spans="1:8">
      <c r="A656" s="232">
        <f t="shared" si="42"/>
        <v>654</v>
      </c>
      <c r="B656" s="233">
        <v>46098</v>
      </c>
      <c r="C656" s="234">
        <v>169.97131200000001</v>
      </c>
      <c r="D656" s="235">
        <v>169.83085550335295</v>
      </c>
      <c r="E656" s="234">
        <f t="shared" si="43"/>
        <v>169.83085550335295</v>
      </c>
      <c r="F656" s="239"/>
      <c r="G656" s="188" t="str">
        <f t="shared" si="44"/>
        <v/>
      </c>
      <c r="H656" s="236" t="str">
        <f t="shared" si="45"/>
        <v/>
      </c>
    </row>
    <row r="657" spans="1:8">
      <c r="A657" s="232">
        <f t="shared" si="42"/>
        <v>655</v>
      </c>
      <c r="B657" s="233">
        <v>46099</v>
      </c>
      <c r="C657" s="234">
        <v>156.81841900000001</v>
      </c>
      <c r="D657" s="235">
        <v>169.83085550335295</v>
      </c>
      <c r="E657" s="234">
        <f t="shared" si="43"/>
        <v>156.81841900000001</v>
      </c>
      <c r="F657" s="239"/>
      <c r="G657" s="188" t="str">
        <f t="shared" si="44"/>
        <v/>
      </c>
      <c r="H657" s="236" t="str">
        <f t="shared" si="45"/>
        <v/>
      </c>
    </row>
    <row r="658" spans="1:8">
      <c r="A658" s="232">
        <f t="shared" si="42"/>
        <v>656</v>
      </c>
      <c r="B658" s="233">
        <v>46100</v>
      </c>
      <c r="C658" s="234">
        <v>140.32770199999999</v>
      </c>
      <c r="D658" s="235">
        <v>169.83085550335295</v>
      </c>
      <c r="E658" s="234">
        <f t="shared" si="43"/>
        <v>140.32770199999999</v>
      </c>
      <c r="F658" s="239"/>
      <c r="G658" s="188" t="str">
        <f t="shared" si="44"/>
        <v/>
      </c>
      <c r="H658" s="236" t="str">
        <f t="shared" si="45"/>
        <v/>
      </c>
    </row>
    <row r="659" spans="1:8">
      <c r="A659" s="232">
        <f t="shared" si="42"/>
        <v>657</v>
      </c>
      <c r="B659" s="233">
        <v>46101</v>
      </c>
      <c r="C659" s="234">
        <v>96.087165999999996</v>
      </c>
      <c r="D659" s="235">
        <v>169.83085550335295</v>
      </c>
      <c r="E659" s="234">
        <f t="shared" si="43"/>
        <v>96.087165999999996</v>
      </c>
      <c r="F659" s="239"/>
      <c r="G659" s="188" t="str">
        <f t="shared" si="44"/>
        <v/>
      </c>
      <c r="H659" s="236" t="str">
        <f t="shared" si="45"/>
        <v/>
      </c>
    </row>
    <row r="660" spans="1:8">
      <c r="A660" s="232">
        <f t="shared" si="42"/>
        <v>658</v>
      </c>
      <c r="B660" s="233">
        <v>46102</v>
      </c>
      <c r="C660" s="234">
        <v>120.060744</v>
      </c>
      <c r="D660" s="235">
        <v>169.83085550335295</v>
      </c>
      <c r="E660" s="234">
        <f t="shared" si="43"/>
        <v>120.060744</v>
      </c>
      <c r="F660" s="239"/>
      <c r="G660" s="188" t="str">
        <f t="shared" si="44"/>
        <v/>
      </c>
      <c r="H660" s="236" t="str">
        <f t="shared" si="45"/>
        <v/>
      </c>
    </row>
    <row r="661" spans="1:8">
      <c r="A661" s="232">
        <f t="shared" si="42"/>
        <v>659</v>
      </c>
      <c r="B661" s="233">
        <v>46103</v>
      </c>
      <c r="C661" s="234">
        <v>138.27279300000001</v>
      </c>
      <c r="D661" s="235">
        <v>169.83085550335295</v>
      </c>
      <c r="E661" s="234">
        <f t="shared" si="43"/>
        <v>138.27279300000001</v>
      </c>
      <c r="F661" s="239"/>
      <c r="G661" s="188" t="str">
        <f t="shared" si="44"/>
        <v/>
      </c>
      <c r="H661" s="236" t="str">
        <f t="shared" si="45"/>
        <v/>
      </c>
    </row>
    <row r="662" spans="1:8">
      <c r="A662" s="232">
        <f t="shared" si="42"/>
        <v>660</v>
      </c>
      <c r="B662" s="233">
        <v>46104</v>
      </c>
      <c r="C662" s="234">
        <v>173.43251199999997</v>
      </c>
      <c r="D662" s="235">
        <v>169.83085550335295</v>
      </c>
      <c r="E662" s="234">
        <f t="shared" si="43"/>
        <v>169.83085550335295</v>
      </c>
      <c r="F662" s="239"/>
      <c r="G662" s="188" t="str">
        <f t="shared" si="44"/>
        <v/>
      </c>
      <c r="H662" s="236" t="str">
        <f t="shared" si="45"/>
        <v/>
      </c>
    </row>
    <row r="663" spans="1:8">
      <c r="A663" s="232">
        <f t="shared" si="42"/>
        <v>661</v>
      </c>
      <c r="B663" s="233">
        <v>46105</v>
      </c>
      <c r="C663" s="234">
        <v>191.57538699999998</v>
      </c>
      <c r="D663" s="235">
        <v>169.83085550335295</v>
      </c>
      <c r="E663" s="234">
        <f t="shared" si="43"/>
        <v>169.83085550335295</v>
      </c>
      <c r="F663" s="239"/>
      <c r="G663" s="188" t="str">
        <f t="shared" si="44"/>
        <v/>
      </c>
      <c r="H663" s="236" t="str">
        <f t="shared" si="45"/>
        <v/>
      </c>
    </row>
    <row r="664" spans="1:8">
      <c r="A664" s="232">
        <f t="shared" si="42"/>
        <v>662</v>
      </c>
      <c r="B664" s="233">
        <v>46106</v>
      </c>
      <c r="C664" s="234">
        <v>167.591734</v>
      </c>
      <c r="D664" s="235">
        <v>169.83085550335295</v>
      </c>
      <c r="E664" s="234">
        <f t="shared" si="43"/>
        <v>167.591734</v>
      </c>
      <c r="F664" s="239"/>
      <c r="G664" s="188" t="str">
        <f t="shared" si="44"/>
        <v/>
      </c>
      <c r="H664" s="236" t="str">
        <f t="shared" si="45"/>
        <v/>
      </c>
    </row>
    <row r="665" spans="1:8">
      <c r="A665" s="232">
        <f t="shared" si="42"/>
        <v>663</v>
      </c>
      <c r="B665" s="233">
        <v>46107</v>
      </c>
      <c r="C665" s="234">
        <v>160.92261299999998</v>
      </c>
      <c r="D665" s="235">
        <v>169.83085550335295</v>
      </c>
      <c r="E665" s="234">
        <f t="shared" si="43"/>
        <v>160.92261299999998</v>
      </c>
      <c r="F665" s="239"/>
      <c r="G665" s="188" t="str">
        <f t="shared" si="44"/>
        <v/>
      </c>
      <c r="H665" s="236" t="str">
        <f t="shared" si="45"/>
        <v/>
      </c>
    </row>
    <row r="666" spans="1:8">
      <c r="A666" s="232">
        <f t="shared" si="42"/>
        <v>664</v>
      </c>
      <c r="B666" s="233">
        <v>46108</v>
      </c>
      <c r="C666" s="234">
        <v>163.616724</v>
      </c>
      <c r="D666" s="235">
        <v>169.83085550335295</v>
      </c>
      <c r="E666" s="234">
        <f t="shared" si="43"/>
        <v>163.616724</v>
      </c>
      <c r="F666" s="239"/>
      <c r="G666" s="188" t="str">
        <f t="shared" si="44"/>
        <v/>
      </c>
      <c r="H666" s="236" t="str">
        <f t="shared" si="45"/>
        <v/>
      </c>
    </row>
    <row r="667" spans="1:8">
      <c r="A667" s="232">
        <f t="shared" si="42"/>
        <v>665</v>
      </c>
      <c r="B667" s="233">
        <v>46109</v>
      </c>
      <c r="C667" s="234">
        <v>131.643359</v>
      </c>
      <c r="D667" s="235">
        <v>169.83085550335295</v>
      </c>
      <c r="E667" s="234">
        <f t="shared" si="43"/>
        <v>131.643359</v>
      </c>
      <c r="F667" s="239"/>
      <c r="G667" s="188" t="str">
        <f t="shared" si="44"/>
        <v/>
      </c>
      <c r="H667" s="236" t="str">
        <f t="shared" si="45"/>
        <v/>
      </c>
    </row>
    <row r="668" spans="1:8">
      <c r="A668" s="232">
        <f t="shared" si="42"/>
        <v>666</v>
      </c>
      <c r="B668" s="233">
        <v>46110</v>
      </c>
      <c r="C668" s="234">
        <v>109.909254</v>
      </c>
      <c r="D668" s="235">
        <v>169.83085550335295</v>
      </c>
      <c r="E668" s="234">
        <f t="shared" si="43"/>
        <v>109.909254</v>
      </c>
      <c r="F668" s="239"/>
      <c r="G668" s="188" t="str">
        <f t="shared" si="44"/>
        <v/>
      </c>
      <c r="H668" s="236" t="str">
        <f t="shared" si="45"/>
        <v/>
      </c>
    </row>
    <row r="669" spans="1:8">
      <c r="A669" s="232">
        <f t="shared" si="42"/>
        <v>667</v>
      </c>
      <c r="B669" s="233">
        <v>46111</v>
      </c>
      <c r="C669" s="234">
        <v>176.27477000000002</v>
      </c>
      <c r="D669" s="235">
        <v>169.83085550335295</v>
      </c>
      <c r="E669" s="234">
        <f t="shared" si="43"/>
        <v>169.83085550335295</v>
      </c>
      <c r="F669" s="239"/>
      <c r="G669" s="188" t="str">
        <f t="shared" si="44"/>
        <v/>
      </c>
      <c r="H669" s="236" t="str">
        <f t="shared" si="45"/>
        <v/>
      </c>
    </row>
    <row r="670" spans="1:8">
      <c r="A670" s="232">
        <f t="shared" si="42"/>
        <v>668</v>
      </c>
      <c r="B670" s="233">
        <v>46112</v>
      </c>
      <c r="C670" s="234">
        <v>169.41041000000001</v>
      </c>
      <c r="D670" s="235">
        <v>169.83085550335295</v>
      </c>
      <c r="E670" s="234">
        <f t="shared" si="43"/>
        <v>169.41041000000001</v>
      </c>
      <c r="F670" s="239"/>
      <c r="G670" s="188" t="str">
        <f t="shared" si="44"/>
        <v/>
      </c>
      <c r="H670" s="236" t="str">
        <f t="shared" si="45"/>
        <v/>
      </c>
    </row>
    <row r="671" spans="1:8">
      <c r="A671" s="232">
        <f t="shared" si="42"/>
        <v>669</v>
      </c>
      <c r="B671" s="233">
        <v>46113</v>
      </c>
      <c r="C671" s="234">
        <v>168.57188500000001</v>
      </c>
      <c r="D671" s="235">
        <v>200.3711069030802</v>
      </c>
      <c r="E671" s="234">
        <f t="shared" si="43"/>
        <v>168.57188500000001</v>
      </c>
      <c r="F671" s="239"/>
      <c r="G671" s="188" t="str">
        <f t="shared" si="44"/>
        <v/>
      </c>
      <c r="H671" s="236" t="str">
        <f t="shared" si="45"/>
        <v/>
      </c>
    </row>
    <row r="672" spans="1:8">
      <c r="A672" s="232">
        <f t="shared" si="42"/>
        <v>670</v>
      </c>
      <c r="B672" s="233">
        <v>46114</v>
      </c>
      <c r="C672" s="234">
        <v>145.24848300000002</v>
      </c>
      <c r="D672" s="235">
        <v>200.3711069030802</v>
      </c>
      <c r="E672" s="234">
        <f t="shared" si="43"/>
        <v>145.24848300000002</v>
      </c>
      <c r="F672" s="239"/>
      <c r="G672" s="188" t="str">
        <f t="shared" si="44"/>
        <v/>
      </c>
      <c r="H672" s="236" t="str">
        <f t="shared" si="45"/>
        <v/>
      </c>
    </row>
    <row r="673" spans="1:8">
      <c r="A673" s="232">
        <f t="shared" si="42"/>
        <v>671</v>
      </c>
      <c r="B673" s="233">
        <v>46115</v>
      </c>
      <c r="C673" s="234">
        <v>152.76104000000001</v>
      </c>
      <c r="D673" s="235">
        <v>200.3711069030802</v>
      </c>
      <c r="E673" s="234">
        <f t="shared" si="43"/>
        <v>152.76104000000001</v>
      </c>
      <c r="F673" s="237"/>
      <c r="G673" s="188" t="str">
        <f t="shared" si="44"/>
        <v/>
      </c>
      <c r="H673" s="236" t="str">
        <f t="shared" si="45"/>
        <v/>
      </c>
    </row>
    <row r="674" spans="1:8">
      <c r="A674" s="232">
        <f t="shared" si="42"/>
        <v>672</v>
      </c>
      <c r="B674" s="233">
        <v>46116</v>
      </c>
      <c r="C674" s="234">
        <v>154.68800699999997</v>
      </c>
      <c r="D674" s="235">
        <v>200.3711069030802</v>
      </c>
      <c r="E674" s="234">
        <f t="shared" si="43"/>
        <v>154.68800699999997</v>
      </c>
      <c r="F674" s="237"/>
      <c r="G674" s="188" t="str">
        <f t="shared" si="44"/>
        <v/>
      </c>
      <c r="H674" s="236" t="str">
        <f t="shared" si="45"/>
        <v/>
      </c>
    </row>
    <row r="675" spans="1:8">
      <c r="A675" s="232">
        <f t="shared" si="42"/>
        <v>673</v>
      </c>
      <c r="B675" s="233">
        <v>46117</v>
      </c>
      <c r="C675" s="234">
        <v>141.98985500000001</v>
      </c>
      <c r="D675" s="235">
        <v>200.3711069030802</v>
      </c>
      <c r="E675" s="234">
        <f t="shared" si="43"/>
        <v>141.98985500000001</v>
      </c>
      <c r="F675" s="239"/>
      <c r="G675" s="188" t="str">
        <f t="shared" si="44"/>
        <v/>
      </c>
      <c r="H675" s="236" t="str">
        <f t="shared" si="45"/>
        <v/>
      </c>
    </row>
    <row r="676" spans="1:8">
      <c r="A676" s="232">
        <f t="shared" si="42"/>
        <v>674</v>
      </c>
      <c r="B676" s="233">
        <v>46118</v>
      </c>
      <c r="C676" s="234">
        <v>132.70071299999998</v>
      </c>
      <c r="D676" s="235">
        <v>200.3711069030802</v>
      </c>
      <c r="E676" s="234">
        <f t="shared" si="43"/>
        <v>132.70071299999998</v>
      </c>
      <c r="F676" s="239"/>
      <c r="G676" s="188" t="str">
        <f t="shared" si="44"/>
        <v/>
      </c>
      <c r="H676" s="236" t="str">
        <f t="shared" si="45"/>
        <v/>
      </c>
    </row>
    <row r="677" spans="1:8">
      <c r="A677" s="232">
        <f t="shared" si="42"/>
        <v>675</v>
      </c>
      <c r="B677" s="233">
        <v>46119</v>
      </c>
      <c r="C677" s="234">
        <v>125.39351300000001</v>
      </c>
      <c r="D677" s="235">
        <v>200.3711069030802</v>
      </c>
      <c r="E677" s="234">
        <f t="shared" si="43"/>
        <v>125.39351300000001</v>
      </c>
      <c r="F677" s="239"/>
      <c r="G677" s="188" t="str">
        <f t="shared" si="44"/>
        <v/>
      </c>
      <c r="H677" s="236" t="str">
        <f t="shared" si="45"/>
        <v/>
      </c>
    </row>
    <row r="678" spans="1:8">
      <c r="A678" s="232">
        <f t="shared" si="42"/>
        <v>676</v>
      </c>
      <c r="B678" s="233">
        <v>46120</v>
      </c>
      <c r="C678" s="234">
        <v>149.50188500000002</v>
      </c>
      <c r="D678" s="235">
        <v>200.3711069030802</v>
      </c>
      <c r="E678" s="234">
        <f t="shared" si="43"/>
        <v>149.50188500000002</v>
      </c>
      <c r="F678" s="239"/>
      <c r="G678" s="188" t="str">
        <f t="shared" si="44"/>
        <v/>
      </c>
      <c r="H678" s="236" t="str">
        <f t="shared" si="45"/>
        <v/>
      </c>
    </row>
    <row r="679" spans="1:8">
      <c r="A679" s="232">
        <f t="shared" si="42"/>
        <v>677</v>
      </c>
      <c r="B679" s="233">
        <v>46121</v>
      </c>
      <c r="C679" s="234">
        <v>182.714585</v>
      </c>
      <c r="D679" s="235">
        <v>200.3711069030802</v>
      </c>
      <c r="E679" s="234">
        <f t="shared" si="43"/>
        <v>182.714585</v>
      </c>
      <c r="F679" s="239"/>
      <c r="G679" s="188" t="str">
        <f t="shared" si="44"/>
        <v/>
      </c>
      <c r="H679" s="236" t="str">
        <f t="shared" si="45"/>
        <v/>
      </c>
    </row>
    <row r="680" spans="1:8">
      <c r="A680" s="232">
        <f t="shared" si="42"/>
        <v>678</v>
      </c>
      <c r="B680" s="233">
        <v>46122</v>
      </c>
      <c r="C680" s="234">
        <v>193.94298299999997</v>
      </c>
      <c r="D680" s="235">
        <v>200.3711069030802</v>
      </c>
      <c r="E680" s="234">
        <f t="shared" si="43"/>
        <v>193.94298299999997</v>
      </c>
      <c r="F680" s="239"/>
      <c r="G680" s="188" t="str">
        <f t="shared" si="44"/>
        <v/>
      </c>
      <c r="H680" s="236" t="str">
        <f t="shared" si="45"/>
        <v/>
      </c>
    </row>
    <row r="681" spans="1:8">
      <c r="A681" s="232">
        <f t="shared" si="42"/>
        <v>679</v>
      </c>
      <c r="B681" s="233">
        <v>46123</v>
      </c>
      <c r="C681" s="234">
        <v>112.04250399999999</v>
      </c>
      <c r="D681" s="235">
        <v>200.3711069030802</v>
      </c>
      <c r="E681" s="234">
        <f t="shared" si="43"/>
        <v>112.04250399999999</v>
      </c>
      <c r="F681" s="239"/>
      <c r="G681" s="188" t="str">
        <f t="shared" si="44"/>
        <v/>
      </c>
      <c r="H681" s="236" t="str">
        <f t="shared" si="45"/>
        <v/>
      </c>
    </row>
    <row r="682" spans="1:8">
      <c r="A682" s="232">
        <f t="shared" si="42"/>
        <v>680</v>
      </c>
      <c r="B682" s="233">
        <v>46124</v>
      </c>
      <c r="C682" s="234">
        <v>117.620048</v>
      </c>
      <c r="D682" s="235">
        <v>200.3711069030802</v>
      </c>
      <c r="E682" s="234">
        <f t="shared" si="43"/>
        <v>117.620048</v>
      </c>
      <c r="F682" s="239"/>
      <c r="G682" s="188" t="str">
        <f t="shared" si="44"/>
        <v/>
      </c>
      <c r="H682" s="236" t="str">
        <f t="shared" si="45"/>
        <v/>
      </c>
    </row>
    <row r="683" spans="1:8">
      <c r="A683" s="232">
        <f t="shared" si="42"/>
        <v>681</v>
      </c>
      <c r="B683" s="233">
        <v>46125</v>
      </c>
      <c r="C683" s="234">
        <v>166.00760900000003</v>
      </c>
      <c r="D683" s="235">
        <v>200.3711069030802</v>
      </c>
      <c r="E683" s="234">
        <f t="shared" si="43"/>
        <v>166.00760900000003</v>
      </c>
      <c r="F683" s="239"/>
      <c r="G683" s="188" t="str">
        <f t="shared" si="44"/>
        <v/>
      </c>
      <c r="H683" s="236" t="str">
        <f t="shared" si="45"/>
        <v/>
      </c>
    </row>
    <row r="684" spans="1:8">
      <c r="A684" s="232">
        <f t="shared" si="42"/>
        <v>682</v>
      </c>
      <c r="B684" s="233">
        <v>46126</v>
      </c>
      <c r="C684" s="234">
        <v>184.034976</v>
      </c>
      <c r="D684" s="235">
        <v>200.3711069030802</v>
      </c>
      <c r="E684" s="234">
        <f t="shared" si="43"/>
        <v>184.034976</v>
      </c>
      <c r="F684" s="239"/>
      <c r="G684" s="188" t="str">
        <f t="shared" si="44"/>
        <v/>
      </c>
      <c r="H684" s="236" t="str">
        <f t="shared" si="45"/>
        <v/>
      </c>
    </row>
    <row r="685" spans="1:8">
      <c r="A685" s="232">
        <f t="shared" si="42"/>
        <v>683</v>
      </c>
      <c r="B685" s="233">
        <v>46127</v>
      </c>
      <c r="C685" s="234">
        <v>209.252174</v>
      </c>
      <c r="D685" s="235">
        <v>200.3711069030802</v>
      </c>
      <c r="E685" s="234">
        <f t="shared" si="43"/>
        <v>200.3711069030802</v>
      </c>
      <c r="F685" s="239"/>
      <c r="G685" s="188" t="str">
        <f t="shared" si="44"/>
        <v>A</v>
      </c>
      <c r="H685" s="236" t="str">
        <f t="shared" si="45"/>
        <v>200,4</v>
      </c>
    </row>
    <row r="686" spans="1:8">
      <c r="A686" s="232">
        <f t="shared" si="42"/>
        <v>684</v>
      </c>
      <c r="B686" s="233">
        <v>46128</v>
      </c>
      <c r="C686" s="234">
        <v>220.560329</v>
      </c>
      <c r="D686" s="235">
        <v>200.3711069030802</v>
      </c>
      <c r="E686" s="234">
        <f t="shared" si="43"/>
        <v>200.3711069030802</v>
      </c>
      <c r="F686" s="239"/>
      <c r="G686" s="188" t="str">
        <f t="shared" si="44"/>
        <v/>
      </c>
      <c r="H686" s="236" t="str">
        <f t="shared" si="45"/>
        <v/>
      </c>
    </row>
    <row r="687" spans="1:8">
      <c r="A687" s="232">
        <f t="shared" si="42"/>
        <v>685</v>
      </c>
      <c r="B687" s="233">
        <v>46129</v>
      </c>
      <c r="C687" s="234">
        <v>227.21309400000001</v>
      </c>
      <c r="D687" s="235">
        <v>200.3711069030802</v>
      </c>
      <c r="E687" s="234">
        <f t="shared" si="43"/>
        <v>200.3711069030802</v>
      </c>
      <c r="F687" s="239"/>
      <c r="G687" s="188" t="str">
        <f t="shared" si="44"/>
        <v/>
      </c>
      <c r="H687" s="236" t="str">
        <f t="shared" si="45"/>
        <v/>
      </c>
    </row>
    <row r="688" spans="1:8">
      <c r="A688" s="232">
        <f t="shared" si="42"/>
        <v>686</v>
      </c>
      <c r="B688" s="233">
        <v>46130</v>
      </c>
      <c r="C688" s="234">
        <v>178.28428</v>
      </c>
      <c r="D688" s="235">
        <v>200.3711069030802</v>
      </c>
      <c r="E688" s="234">
        <f t="shared" si="43"/>
        <v>178.28428</v>
      </c>
      <c r="F688" s="239"/>
      <c r="G688" s="188" t="str">
        <f t="shared" si="44"/>
        <v/>
      </c>
      <c r="H688" s="236" t="str">
        <f t="shared" si="45"/>
        <v/>
      </c>
    </row>
    <row r="689" spans="1:8">
      <c r="A689" s="232">
        <f t="shared" si="42"/>
        <v>687</v>
      </c>
      <c r="B689" s="233">
        <v>46131</v>
      </c>
      <c r="C689" s="234">
        <v>166.18034999999998</v>
      </c>
      <c r="D689" s="235">
        <v>200.3711069030802</v>
      </c>
      <c r="E689" s="234">
        <f t="shared" si="43"/>
        <v>166.18034999999998</v>
      </c>
      <c r="F689" s="239"/>
      <c r="G689" s="188" t="str">
        <f t="shared" si="44"/>
        <v/>
      </c>
      <c r="H689" s="236" t="str">
        <f t="shared" si="45"/>
        <v/>
      </c>
    </row>
    <row r="690" spans="1:8">
      <c r="A690" s="232">
        <f t="shared" si="42"/>
        <v>688</v>
      </c>
      <c r="B690" s="233">
        <v>46132</v>
      </c>
      <c r="C690" s="234">
        <v>200.82209400000002</v>
      </c>
      <c r="D690" s="235">
        <v>200.3711069030802</v>
      </c>
      <c r="E690" s="234">
        <f t="shared" si="43"/>
        <v>200.3711069030802</v>
      </c>
      <c r="F690" s="239"/>
      <c r="G690" s="188" t="str">
        <f t="shared" si="44"/>
        <v/>
      </c>
      <c r="H690" s="236" t="str">
        <f t="shared" si="45"/>
        <v/>
      </c>
    </row>
    <row r="691" spans="1:8">
      <c r="A691" s="232">
        <f t="shared" si="42"/>
        <v>689</v>
      </c>
      <c r="B691" s="233">
        <v>46133</v>
      </c>
      <c r="C691" s="234">
        <v>144.19045600000001</v>
      </c>
      <c r="D691" s="235">
        <v>200.3711069030802</v>
      </c>
      <c r="E691" s="234">
        <f t="shared" si="43"/>
        <v>144.19045600000001</v>
      </c>
      <c r="F691" s="239"/>
      <c r="G691" s="188" t="str">
        <f t="shared" si="44"/>
        <v/>
      </c>
      <c r="H691" s="236" t="str">
        <f t="shared" si="45"/>
        <v/>
      </c>
    </row>
    <row r="692" spans="1:8">
      <c r="A692" s="232">
        <f t="shared" si="42"/>
        <v>690</v>
      </c>
      <c r="B692" s="233">
        <v>46134</v>
      </c>
      <c r="C692" s="234">
        <v>190.07666500000002</v>
      </c>
      <c r="D692" s="235">
        <v>200.3711069030802</v>
      </c>
      <c r="E692" s="234">
        <f t="shared" si="43"/>
        <v>190.07666500000002</v>
      </c>
      <c r="F692" s="239"/>
      <c r="G692" s="188" t="str">
        <f t="shared" si="44"/>
        <v/>
      </c>
      <c r="H692" s="236" t="str">
        <f t="shared" si="45"/>
        <v/>
      </c>
    </row>
    <row r="693" spans="1:8">
      <c r="A693" s="232">
        <f t="shared" si="42"/>
        <v>691</v>
      </c>
      <c r="B693" s="233">
        <v>46135</v>
      </c>
      <c r="C693" s="234">
        <v>167.42293799999999</v>
      </c>
      <c r="D693" s="235">
        <v>200.3711069030802</v>
      </c>
      <c r="E693" s="234">
        <f t="shared" si="43"/>
        <v>167.42293799999999</v>
      </c>
      <c r="F693" s="239"/>
      <c r="G693" s="188" t="str">
        <f t="shared" si="44"/>
        <v/>
      </c>
      <c r="H693" s="236" t="str">
        <f t="shared" si="45"/>
        <v/>
      </c>
    </row>
    <row r="694" spans="1:8">
      <c r="A694" s="232">
        <f t="shared" si="42"/>
        <v>692</v>
      </c>
      <c r="B694" s="233">
        <v>46136</v>
      </c>
      <c r="C694" s="234">
        <v>165.12406699999997</v>
      </c>
      <c r="D694" s="235">
        <v>200.3711069030802</v>
      </c>
      <c r="E694" s="234">
        <f t="shared" si="43"/>
        <v>165.12406699999997</v>
      </c>
      <c r="F694" s="239"/>
      <c r="G694" s="188" t="str">
        <f t="shared" si="44"/>
        <v/>
      </c>
      <c r="H694" s="236" t="str">
        <f t="shared" si="45"/>
        <v/>
      </c>
    </row>
    <row r="695" spans="1:8">
      <c r="A695" s="232">
        <f t="shared" si="42"/>
        <v>693</v>
      </c>
      <c r="B695" s="233">
        <v>46137</v>
      </c>
      <c r="C695" s="234">
        <v>153.28272699999999</v>
      </c>
      <c r="D695" s="235">
        <v>200.3711069030802</v>
      </c>
      <c r="E695" s="234">
        <f t="shared" si="43"/>
        <v>153.28272699999999</v>
      </c>
      <c r="F695" s="239"/>
      <c r="G695" s="188" t="str">
        <f t="shared" si="44"/>
        <v/>
      </c>
      <c r="H695" s="236" t="str">
        <f t="shared" si="45"/>
        <v/>
      </c>
    </row>
    <row r="696" spans="1:8">
      <c r="A696" s="232">
        <f t="shared" si="42"/>
        <v>694</v>
      </c>
      <c r="B696" s="233">
        <v>46138</v>
      </c>
      <c r="C696" s="234">
        <v>147.98727</v>
      </c>
      <c r="D696" s="235">
        <v>200.3711069030802</v>
      </c>
      <c r="E696" s="234">
        <f t="shared" si="43"/>
        <v>147.98727</v>
      </c>
      <c r="F696" s="239"/>
      <c r="G696" s="188" t="str">
        <f t="shared" si="44"/>
        <v/>
      </c>
      <c r="H696" s="236" t="str">
        <f t="shared" si="45"/>
        <v/>
      </c>
    </row>
    <row r="697" spans="1:8">
      <c r="A697" s="232">
        <f t="shared" si="42"/>
        <v>695</v>
      </c>
      <c r="B697" s="233">
        <v>46139</v>
      </c>
      <c r="C697" s="234">
        <v>212.95942300000002</v>
      </c>
      <c r="D697" s="235">
        <v>200.3711069030802</v>
      </c>
      <c r="E697" s="234">
        <f t="shared" si="43"/>
        <v>200.3711069030802</v>
      </c>
      <c r="F697" s="239"/>
      <c r="G697" s="188" t="str">
        <f t="shared" si="44"/>
        <v/>
      </c>
      <c r="H697" s="236" t="str">
        <f t="shared" si="45"/>
        <v/>
      </c>
    </row>
    <row r="698" spans="1:8">
      <c r="A698" s="232">
        <f t="shared" si="42"/>
        <v>696</v>
      </c>
      <c r="B698" s="233">
        <v>46140</v>
      </c>
      <c r="C698" s="234">
        <v>168.31767499999998</v>
      </c>
      <c r="D698" s="235">
        <v>200.3711069030802</v>
      </c>
      <c r="E698" s="234">
        <f t="shared" si="43"/>
        <v>168.31767499999998</v>
      </c>
      <c r="F698" s="239"/>
      <c r="G698" s="188" t="str">
        <f t="shared" si="44"/>
        <v/>
      </c>
      <c r="H698" s="236" t="str">
        <f t="shared" si="45"/>
        <v/>
      </c>
    </row>
    <row r="699" spans="1:8">
      <c r="A699" s="232">
        <f t="shared" si="42"/>
        <v>697</v>
      </c>
      <c r="B699" s="233">
        <v>46141</v>
      </c>
      <c r="C699" s="234">
        <v>136.538625</v>
      </c>
      <c r="D699" s="235">
        <v>200.3711069030802</v>
      </c>
      <c r="E699" s="234">
        <f t="shared" si="43"/>
        <v>136.538625</v>
      </c>
      <c r="F699" s="239"/>
      <c r="G699" s="188" t="str">
        <f t="shared" si="44"/>
        <v/>
      </c>
      <c r="H699" s="236" t="str">
        <f t="shared" si="45"/>
        <v/>
      </c>
    </row>
    <row r="700" spans="1:8">
      <c r="A700" s="232">
        <f t="shared" si="42"/>
        <v>698</v>
      </c>
      <c r="B700" s="233">
        <v>46142</v>
      </c>
      <c r="C700" s="234">
        <v>210.08236300000002</v>
      </c>
      <c r="D700" s="235">
        <v>200.3711069030802</v>
      </c>
      <c r="E700" s="234">
        <f t="shared" si="43"/>
        <v>200.3711069030802</v>
      </c>
      <c r="F700" s="239"/>
      <c r="G700" s="188" t="str">
        <f t="shared" si="44"/>
        <v/>
      </c>
      <c r="H700" s="236" t="str">
        <f t="shared" si="45"/>
        <v/>
      </c>
    </row>
    <row r="701" spans="1:8">
      <c r="A701" s="232">
        <f t="shared" si="42"/>
        <v>699</v>
      </c>
      <c r="B701" s="233">
        <v>46143</v>
      </c>
      <c r="C701" s="234">
        <v>154.84169500000002</v>
      </c>
      <c r="D701" s="235">
        <v>233.45493177946088</v>
      </c>
      <c r="E701" s="234">
        <f t="shared" si="43"/>
        <v>154.84169500000002</v>
      </c>
      <c r="F701" s="237"/>
      <c r="G701" s="188" t="str">
        <f t="shared" si="44"/>
        <v/>
      </c>
      <c r="H701" s="236" t="str">
        <f t="shared" si="45"/>
        <v/>
      </c>
    </row>
    <row r="702" spans="1:8">
      <c r="A702" s="232">
        <f t="shared" si="42"/>
        <v>700</v>
      </c>
      <c r="B702" s="233">
        <v>46144</v>
      </c>
      <c r="C702" s="234">
        <v>122.266015</v>
      </c>
      <c r="D702" s="235">
        <v>233.45493177946088</v>
      </c>
      <c r="E702" s="234">
        <f t="shared" si="43"/>
        <v>122.266015</v>
      </c>
      <c r="F702" s="237"/>
      <c r="G702" s="188" t="str">
        <f t="shared" si="44"/>
        <v/>
      </c>
      <c r="H702" s="236" t="str">
        <f t="shared" si="45"/>
        <v/>
      </c>
    </row>
    <row r="703" spans="1:8">
      <c r="A703" s="232">
        <f t="shared" si="42"/>
        <v>701</v>
      </c>
      <c r="B703" s="233">
        <v>46145</v>
      </c>
      <c r="C703" s="234">
        <v>147.454926</v>
      </c>
      <c r="D703" s="235">
        <v>233.45493177946088</v>
      </c>
      <c r="E703" s="234">
        <f t="shared" si="43"/>
        <v>147.454926</v>
      </c>
      <c r="F703" s="239"/>
      <c r="G703" s="188" t="str">
        <f t="shared" si="44"/>
        <v/>
      </c>
      <c r="H703" s="236" t="str">
        <f t="shared" si="45"/>
        <v/>
      </c>
    </row>
    <row r="704" spans="1:8">
      <c r="A704" s="232">
        <f t="shared" si="42"/>
        <v>702</v>
      </c>
      <c r="B704" s="233">
        <v>46146</v>
      </c>
      <c r="C704" s="234">
        <v>179.53910300000001</v>
      </c>
      <c r="D704" s="235">
        <v>233.45493177946088</v>
      </c>
      <c r="E704" s="234">
        <f t="shared" si="43"/>
        <v>179.53910300000001</v>
      </c>
      <c r="F704" s="239"/>
      <c r="G704" s="188" t="str">
        <f t="shared" si="44"/>
        <v/>
      </c>
      <c r="H704" s="236" t="str">
        <f t="shared" si="45"/>
        <v/>
      </c>
    </row>
    <row r="705" spans="1:8">
      <c r="A705" s="232">
        <f t="shared" si="42"/>
        <v>703</v>
      </c>
      <c r="B705" s="233">
        <v>46147</v>
      </c>
      <c r="C705" s="234">
        <v>208.95022800000001</v>
      </c>
      <c r="D705" s="235">
        <v>233.45493177946088</v>
      </c>
      <c r="E705" s="234">
        <f t="shared" si="43"/>
        <v>208.95022800000001</v>
      </c>
      <c r="F705" s="239"/>
      <c r="G705" s="188" t="str">
        <f t="shared" si="44"/>
        <v/>
      </c>
      <c r="H705" s="236" t="str">
        <f t="shared" si="45"/>
        <v/>
      </c>
    </row>
    <row r="706" spans="1:8">
      <c r="A706" s="232">
        <f t="shared" si="42"/>
        <v>704</v>
      </c>
      <c r="B706" s="233">
        <v>46148</v>
      </c>
      <c r="C706" s="234">
        <v>226.37026</v>
      </c>
      <c r="D706" s="235">
        <v>233.45493177946088</v>
      </c>
      <c r="E706" s="234">
        <f t="shared" si="43"/>
        <v>226.37026</v>
      </c>
      <c r="F706" s="239"/>
      <c r="G706" s="188" t="str">
        <f t="shared" si="44"/>
        <v/>
      </c>
      <c r="H706" s="236" t="str">
        <f t="shared" si="45"/>
        <v/>
      </c>
    </row>
    <row r="707" spans="1:8">
      <c r="A707" s="232">
        <f t="shared" si="42"/>
        <v>705</v>
      </c>
      <c r="B707" s="233">
        <v>46149</v>
      </c>
      <c r="C707" s="234">
        <v>184.93257999999997</v>
      </c>
      <c r="D707" s="235">
        <v>233.45493177946088</v>
      </c>
      <c r="E707" s="234">
        <f t="shared" si="43"/>
        <v>184.93257999999997</v>
      </c>
      <c r="F707" s="239"/>
      <c r="G707" s="188" t="str">
        <f t="shared" si="44"/>
        <v/>
      </c>
      <c r="H707" s="236" t="str">
        <f t="shared" si="45"/>
        <v/>
      </c>
    </row>
    <row r="708" spans="1:8">
      <c r="A708" s="232">
        <f t="shared" ref="A708:A761" si="46">+A707+1</f>
        <v>706</v>
      </c>
      <c r="B708" s="233">
        <v>46150</v>
      </c>
      <c r="C708" s="234">
        <v>183.60934400000002</v>
      </c>
      <c r="D708" s="235">
        <v>233.45493177946088</v>
      </c>
      <c r="E708" s="234">
        <f t="shared" ref="E708:E760" si="47">IF(C708&gt;D708,D708,C708)</f>
        <v>183.60934400000002</v>
      </c>
      <c r="F708" s="239"/>
      <c r="G708" s="188" t="str">
        <f t="shared" ref="G708:G745" si="48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H708" s="236" t="str">
        <f t="shared" ref="H708:H745" si="49">IF(DAY($B708)=15,TEXT(D708,"#,0"),"")</f>
        <v/>
      </c>
    </row>
    <row r="709" spans="1:8">
      <c r="A709" s="232">
        <f t="shared" si="46"/>
        <v>707</v>
      </c>
      <c r="B709" s="233">
        <v>46151</v>
      </c>
      <c r="C709" s="234">
        <v>126.293412</v>
      </c>
      <c r="D709" s="235">
        <v>233.45493177946088</v>
      </c>
      <c r="E709" s="234">
        <f t="shared" si="47"/>
        <v>126.293412</v>
      </c>
      <c r="F709" s="239"/>
      <c r="G709" s="188" t="str">
        <f t="shared" si="48"/>
        <v/>
      </c>
      <c r="H709" s="236" t="str">
        <f t="shared" si="49"/>
        <v/>
      </c>
    </row>
    <row r="710" spans="1:8">
      <c r="A710" s="232">
        <f t="shared" si="46"/>
        <v>708</v>
      </c>
      <c r="B710" s="233">
        <v>46152</v>
      </c>
      <c r="C710" s="234">
        <v>137.04002</v>
      </c>
      <c r="D710" s="235">
        <v>233.45493177946088</v>
      </c>
      <c r="E710" s="234">
        <f t="shared" si="47"/>
        <v>137.04002</v>
      </c>
      <c r="F710" s="239"/>
      <c r="G710" s="188" t="str">
        <f t="shared" si="48"/>
        <v/>
      </c>
      <c r="H710" s="236" t="str">
        <f t="shared" si="49"/>
        <v/>
      </c>
    </row>
    <row r="711" spans="1:8">
      <c r="A711" s="232">
        <f t="shared" si="46"/>
        <v>709</v>
      </c>
      <c r="B711" s="233">
        <v>46153</v>
      </c>
      <c r="C711" s="234">
        <v>209.36319800000001</v>
      </c>
      <c r="D711" s="235">
        <v>233.45493177946088</v>
      </c>
      <c r="E711" s="234">
        <f t="shared" si="47"/>
        <v>209.36319800000001</v>
      </c>
      <c r="F711" s="239"/>
      <c r="G711" s="188" t="str">
        <f t="shared" si="48"/>
        <v/>
      </c>
      <c r="H711" s="236" t="str">
        <f t="shared" si="49"/>
        <v/>
      </c>
    </row>
    <row r="712" spans="1:8">
      <c r="A712" s="232">
        <f t="shared" si="46"/>
        <v>710</v>
      </c>
      <c r="B712" s="233">
        <v>46154</v>
      </c>
      <c r="C712" s="234">
        <v>196.17221600000002</v>
      </c>
      <c r="D712" s="235">
        <v>233.45493177946088</v>
      </c>
      <c r="E712" s="234">
        <f t="shared" si="47"/>
        <v>196.17221600000002</v>
      </c>
      <c r="F712" s="239"/>
      <c r="G712" s="188" t="str">
        <f t="shared" si="48"/>
        <v/>
      </c>
      <c r="H712" s="236" t="str">
        <f t="shared" si="49"/>
        <v/>
      </c>
    </row>
    <row r="713" spans="1:8">
      <c r="A713" s="232">
        <f t="shared" si="46"/>
        <v>711</v>
      </c>
      <c r="B713" s="233">
        <v>46155</v>
      </c>
      <c r="C713" s="234">
        <v>207.20928199999997</v>
      </c>
      <c r="D713" s="235">
        <v>233.45493177946088</v>
      </c>
      <c r="E713" s="234">
        <f t="shared" si="47"/>
        <v>207.20928199999997</v>
      </c>
      <c r="F713" s="239"/>
      <c r="G713" s="188" t="str">
        <f t="shared" si="48"/>
        <v/>
      </c>
      <c r="H713" s="236" t="str">
        <f t="shared" si="49"/>
        <v/>
      </c>
    </row>
    <row r="714" spans="1:8">
      <c r="A714" s="232">
        <f t="shared" si="46"/>
        <v>712</v>
      </c>
      <c r="B714" s="233">
        <v>46156</v>
      </c>
      <c r="C714" s="234">
        <v>205.77052799999998</v>
      </c>
      <c r="D714" s="235">
        <v>233.45493177946088</v>
      </c>
      <c r="E714" s="234">
        <f t="shared" si="47"/>
        <v>205.77052799999998</v>
      </c>
      <c r="F714" s="239"/>
      <c r="G714" s="188" t="str">
        <f t="shared" si="48"/>
        <v/>
      </c>
      <c r="H714" s="236" t="str">
        <f t="shared" si="49"/>
        <v/>
      </c>
    </row>
    <row r="715" spans="1:8">
      <c r="A715" s="232">
        <f t="shared" si="46"/>
        <v>713</v>
      </c>
      <c r="B715" s="233">
        <v>46157</v>
      </c>
      <c r="C715" s="234">
        <v>179.25187199999999</v>
      </c>
      <c r="D715" s="235">
        <v>233.45493177946088</v>
      </c>
      <c r="E715" s="234">
        <f t="shared" si="47"/>
        <v>179.25187199999999</v>
      </c>
      <c r="F715" s="239"/>
      <c r="G715" s="188" t="str">
        <f t="shared" si="48"/>
        <v>M</v>
      </c>
      <c r="H715" s="236" t="str">
        <f t="shared" si="49"/>
        <v>233,5</v>
      </c>
    </row>
    <row r="716" spans="1:8">
      <c r="A716" s="232">
        <f t="shared" si="46"/>
        <v>714</v>
      </c>
      <c r="B716" s="233">
        <v>46158</v>
      </c>
      <c r="C716" s="234">
        <v>218.26626000000002</v>
      </c>
      <c r="D716" s="235">
        <v>233.45493177946088</v>
      </c>
      <c r="E716" s="234">
        <f t="shared" si="47"/>
        <v>218.26626000000002</v>
      </c>
      <c r="F716" s="239"/>
      <c r="G716" s="188" t="str">
        <f t="shared" si="48"/>
        <v/>
      </c>
      <c r="H716" s="236" t="str">
        <f t="shared" si="49"/>
        <v/>
      </c>
    </row>
    <row r="717" spans="1:8">
      <c r="A717" s="232">
        <f t="shared" si="46"/>
        <v>715</v>
      </c>
      <c r="B717" s="233">
        <v>46159</v>
      </c>
      <c r="C717" s="234">
        <v>182.293646</v>
      </c>
      <c r="D717" s="235">
        <v>233.45493177946088</v>
      </c>
      <c r="E717" s="234">
        <f t="shared" si="47"/>
        <v>182.293646</v>
      </c>
      <c r="F717" s="239"/>
      <c r="G717" s="188" t="str">
        <f t="shared" si="48"/>
        <v/>
      </c>
      <c r="H717" s="236" t="str">
        <f t="shared" si="49"/>
        <v/>
      </c>
    </row>
    <row r="718" spans="1:8">
      <c r="A718" s="232">
        <f t="shared" si="46"/>
        <v>716</v>
      </c>
      <c r="B718" s="233">
        <v>46160</v>
      </c>
      <c r="C718" s="234">
        <v>212.505225</v>
      </c>
      <c r="D718" s="235">
        <v>233.45493177946088</v>
      </c>
      <c r="E718" s="234">
        <f t="shared" si="47"/>
        <v>212.505225</v>
      </c>
      <c r="F718" s="239"/>
      <c r="G718" s="188" t="str">
        <f t="shared" si="48"/>
        <v/>
      </c>
      <c r="H718" s="236" t="str">
        <f t="shared" si="49"/>
        <v/>
      </c>
    </row>
    <row r="719" spans="1:8">
      <c r="A719" s="232">
        <f t="shared" si="46"/>
        <v>717</v>
      </c>
      <c r="B719" s="233">
        <v>46161</v>
      </c>
      <c r="C719" s="234">
        <v>215.87432400000003</v>
      </c>
      <c r="D719" s="235">
        <v>233.45493177946088</v>
      </c>
      <c r="E719" s="234">
        <f t="shared" si="47"/>
        <v>215.87432400000003</v>
      </c>
      <c r="F719" s="239"/>
      <c r="G719" s="188" t="str">
        <f t="shared" si="48"/>
        <v/>
      </c>
      <c r="H719" s="236" t="str">
        <f t="shared" si="49"/>
        <v/>
      </c>
    </row>
    <row r="720" spans="1:8">
      <c r="A720" s="232">
        <f t="shared" si="46"/>
        <v>718</v>
      </c>
      <c r="B720" s="233">
        <v>46162</v>
      </c>
      <c r="C720" s="234">
        <v>240.755494</v>
      </c>
      <c r="D720" s="235">
        <v>233.45493177946088</v>
      </c>
      <c r="E720" s="234">
        <f t="shared" si="47"/>
        <v>233.45493177946088</v>
      </c>
      <c r="F720" s="239"/>
      <c r="G720" s="188" t="str">
        <f t="shared" si="48"/>
        <v/>
      </c>
      <c r="H720" s="236" t="str">
        <f t="shared" si="49"/>
        <v/>
      </c>
    </row>
    <row r="721" spans="1:8">
      <c r="A721" s="232">
        <f t="shared" si="46"/>
        <v>719</v>
      </c>
      <c r="B721" s="233">
        <v>46163</v>
      </c>
      <c r="C721" s="234">
        <v>227.00799099999998</v>
      </c>
      <c r="D721" s="235">
        <v>233.45493177946088</v>
      </c>
      <c r="E721" s="234">
        <f t="shared" si="47"/>
        <v>227.00799099999998</v>
      </c>
      <c r="F721" s="239"/>
      <c r="G721" s="188" t="str">
        <f t="shared" si="48"/>
        <v/>
      </c>
      <c r="H721" s="236" t="str">
        <f t="shared" si="49"/>
        <v/>
      </c>
    </row>
    <row r="722" spans="1:8">
      <c r="A722" s="232">
        <f t="shared" si="46"/>
        <v>720</v>
      </c>
      <c r="B722" s="233">
        <v>46164</v>
      </c>
      <c r="C722" s="234">
        <v>234.23846399999999</v>
      </c>
      <c r="D722" s="235">
        <v>233.45493177946088</v>
      </c>
      <c r="E722" s="234">
        <f t="shared" si="47"/>
        <v>233.45493177946088</v>
      </c>
      <c r="F722" s="239"/>
      <c r="G722" s="188" t="str">
        <f t="shared" si="48"/>
        <v/>
      </c>
      <c r="H722" s="236" t="str">
        <f t="shared" si="49"/>
        <v/>
      </c>
    </row>
    <row r="723" spans="1:8">
      <c r="A723" s="232">
        <f t="shared" si="46"/>
        <v>721</v>
      </c>
      <c r="B723" s="233">
        <v>46165</v>
      </c>
      <c r="C723" s="234">
        <v>197.348084</v>
      </c>
      <c r="D723" s="235">
        <v>233.45493177946088</v>
      </c>
      <c r="E723" s="234">
        <f t="shared" si="47"/>
        <v>197.348084</v>
      </c>
      <c r="F723" s="239"/>
      <c r="G723" s="188" t="str">
        <f t="shared" si="48"/>
        <v/>
      </c>
      <c r="H723" s="236" t="str">
        <f t="shared" si="49"/>
        <v/>
      </c>
    </row>
    <row r="724" spans="1:8">
      <c r="A724" s="232">
        <f t="shared" si="46"/>
        <v>722</v>
      </c>
      <c r="B724" s="233">
        <v>46166</v>
      </c>
      <c r="C724" s="234">
        <v>168.26594700000001</v>
      </c>
      <c r="D724" s="235">
        <v>233.45493177946088</v>
      </c>
      <c r="E724" s="234">
        <f t="shared" si="47"/>
        <v>168.26594700000001</v>
      </c>
      <c r="F724" s="239"/>
      <c r="G724" s="188" t="str">
        <f t="shared" si="48"/>
        <v/>
      </c>
      <c r="H724" s="236" t="str">
        <f t="shared" si="49"/>
        <v/>
      </c>
    </row>
    <row r="725" spans="1:8">
      <c r="A725" s="232">
        <f t="shared" si="46"/>
        <v>723</v>
      </c>
      <c r="B725" s="233">
        <v>46167</v>
      </c>
      <c r="C725" s="234">
        <v>214.53951900000001</v>
      </c>
      <c r="D725" s="235">
        <v>233.45493177946088</v>
      </c>
      <c r="E725" s="234">
        <f t="shared" si="47"/>
        <v>214.53951900000001</v>
      </c>
      <c r="F725" s="239"/>
      <c r="G725" s="188" t="str">
        <f t="shared" si="48"/>
        <v/>
      </c>
      <c r="H725" s="236" t="str">
        <f t="shared" si="49"/>
        <v/>
      </c>
    </row>
    <row r="726" spans="1:8">
      <c r="A726" s="232">
        <f t="shared" si="46"/>
        <v>724</v>
      </c>
      <c r="B726" s="233">
        <v>46168</v>
      </c>
      <c r="C726" s="234">
        <v>256.099987</v>
      </c>
      <c r="D726" s="235">
        <v>233.45493177946088</v>
      </c>
      <c r="E726" s="234">
        <f t="shared" si="47"/>
        <v>233.45493177946088</v>
      </c>
      <c r="F726" s="239"/>
      <c r="G726" s="188" t="str">
        <f t="shared" si="48"/>
        <v/>
      </c>
      <c r="H726" s="236" t="str">
        <f t="shared" si="49"/>
        <v/>
      </c>
    </row>
    <row r="727" spans="1:8">
      <c r="A727" s="232">
        <f t="shared" si="46"/>
        <v>725</v>
      </c>
      <c r="B727" s="233">
        <v>46169</v>
      </c>
      <c r="C727" s="234">
        <v>244.58953700000001</v>
      </c>
      <c r="D727" s="235">
        <v>233.45493177946088</v>
      </c>
      <c r="E727" s="234">
        <f t="shared" si="47"/>
        <v>233.45493177946088</v>
      </c>
      <c r="F727" s="239"/>
      <c r="G727" s="188" t="str">
        <f t="shared" si="48"/>
        <v/>
      </c>
      <c r="H727" s="236" t="str">
        <f t="shared" si="49"/>
        <v/>
      </c>
    </row>
    <row r="728" spans="1:8">
      <c r="A728" s="232">
        <f t="shared" si="46"/>
        <v>726</v>
      </c>
      <c r="B728" s="233">
        <v>46170</v>
      </c>
      <c r="C728" s="234">
        <v>262.68385999999998</v>
      </c>
      <c r="D728" s="235">
        <v>233.45493177946088</v>
      </c>
      <c r="E728" s="234">
        <f t="shared" si="47"/>
        <v>233.45493177946088</v>
      </c>
      <c r="F728" s="239"/>
      <c r="G728" s="188" t="str">
        <f t="shared" si="48"/>
        <v/>
      </c>
      <c r="H728" s="236" t="str">
        <f t="shared" si="49"/>
        <v/>
      </c>
    </row>
    <row r="729" spans="1:8">
      <c r="A729" s="232">
        <f t="shared" si="46"/>
        <v>727</v>
      </c>
      <c r="B729" s="233">
        <v>46171</v>
      </c>
      <c r="C729" s="234">
        <v>282.556061</v>
      </c>
      <c r="D729" s="235">
        <v>233.45493177946088</v>
      </c>
      <c r="E729" s="234">
        <f t="shared" si="47"/>
        <v>233.45493177946088</v>
      </c>
      <c r="F729" s="239"/>
      <c r="G729" s="188" t="str">
        <f t="shared" si="48"/>
        <v/>
      </c>
      <c r="H729" s="236" t="str">
        <f t="shared" si="49"/>
        <v/>
      </c>
    </row>
    <row r="730" spans="1:8">
      <c r="A730" s="232">
        <f t="shared" si="46"/>
        <v>728</v>
      </c>
      <c r="B730" s="233">
        <v>46172</v>
      </c>
      <c r="C730" s="234">
        <v>235.32916599999999</v>
      </c>
      <c r="D730" s="235">
        <v>233.45493177946088</v>
      </c>
      <c r="E730" s="234">
        <f t="shared" si="47"/>
        <v>233.45493177946088</v>
      </c>
      <c r="F730" s="239"/>
      <c r="G730" s="188" t="str">
        <f t="shared" si="48"/>
        <v/>
      </c>
      <c r="H730" s="236" t="str">
        <f t="shared" si="49"/>
        <v/>
      </c>
    </row>
    <row r="731" spans="1:8">
      <c r="A731" s="232">
        <f t="shared" si="46"/>
        <v>729</v>
      </c>
      <c r="B731" s="233">
        <v>46173</v>
      </c>
      <c r="C731" s="234">
        <v>219.31225499999999</v>
      </c>
      <c r="D731" s="235">
        <v>233.45493177946088</v>
      </c>
      <c r="E731" s="234">
        <f t="shared" si="47"/>
        <v>219.31225499999999</v>
      </c>
      <c r="F731" s="239"/>
      <c r="G731" s="188" t="str">
        <f t="shared" si="48"/>
        <v/>
      </c>
      <c r="H731" s="236" t="str">
        <f t="shared" si="49"/>
        <v/>
      </c>
    </row>
    <row r="732" spans="1:8">
      <c r="A732" s="232">
        <f t="shared" si="46"/>
        <v>730</v>
      </c>
      <c r="B732" s="233">
        <v>46174</v>
      </c>
      <c r="C732" s="234">
        <v>256.53181000000001</v>
      </c>
      <c r="D732" s="235">
        <v>244.77613226444171</v>
      </c>
      <c r="E732" s="234">
        <f t="shared" si="47"/>
        <v>244.77613226444171</v>
      </c>
      <c r="F732" s="237"/>
      <c r="G732" s="188" t="str">
        <f t="shared" si="48"/>
        <v/>
      </c>
      <c r="H732" s="236" t="str">
        <f t="shared" si="49"/>
        <v/>
      </c>
    </row>
    <row r="733" spans="1:8">
      <c r="A733" s="232">
        <f t="shared" si="46"/>
        <v>731</v>
      </c>
      <c r="B733" s="233">
        <v>46175</v>
      </c>
      <c r="C733" s="234">
        <v>231.36151899999999</v>
      </c>
      <c r="D733" s="235">
        <v>244.77613226444171</v>
      </c>
      <c r="E733" s="234">
        <f t="shared" si="47"/>
        <v>231.36151899999999</v>
      </c>
      <c r="F733" s="237"/>
      <c r="G733" s="188" t="str">
        <f t="shared" si="48"/>
        <v/>
      </c>
      <c r="H733" s="236" t="str">
        <f t="shared" si="49"/>
        <v/>
      </c>
    </row>
    <row r="734" spans="1:8">
      <c r="A734" s="232">
        <f t="shared" si="46"/>
        <v>732</v>
      </c>
      <c r="B734" s="233">
        <v>46176</v>
      </c>
      <c r="C734" s="234">
        <v>250.609148</v>
      </c>
      <c r="D734" s="235">
        <v>244.77613226444171</v>
      </c>
      <c r="E734" s="234">
        <f t="shared" si="47"/>
        <v>244.77613226444171</v>
      </c>
      <c r="F734" s="239"/>
      <c r="G734" s="188" t="str">
        <f t="shared" si="48"/>
        <v/>
      </c>
      <c r="H734" s="236" t="str">
        <f t="shared" si="49"/>
        <v/>
      </c>
    </row>
    <row r="735" spans="1:8">
      <c r="A735" s="232">
        <f t="shared" si="46"/>
        <v>733</v>
      </c>
      <c r="B735" s="233">
        <v>46177</v>
      </c>
      <c r="C735" s="234">
        <v>219.550253</v>
      </c>
      <c r="D735" s="235">
        <v>244.77613226444171</v>
      </c>
      <c r="E735" s="234">
        <f t="shared" si="47"/>
        <v>219.550253</v>
      </c>
      <c r="F735" s="239"/>
      <c r="G735" s="188" t="str">
        <f t="shared" si="48"/>
        <v/>
      </c>
      <c r="H735" s="236" t="str">
        <f t="shared" si="49"/>
        <v/>
      </c>
    </row>
    <row r="736" spans="1:8">
      <c r="A736" s="232">
        <f t="shared" si="46"/>
        <v>734</v>
      </c>
      <c r="B736" s="233">
        <v>46178</v>
      </c>
      <c r="C736" s="234">
        <v>244.44533100000001</v>
      </c>
      <c r="D736" s="235">
        <v>244.77613226444171</v>
      </c>
      <c r="E736" s="234">
        <f t="shared" si="47"/>
        <v>244.44533100000001</v>
      </c>
      <c r="F736" s="239"/>
      <c r="G736" s="188" t="str">
        <f t="shared" si="48"/>
        <v/>
      </c>
      <c r="H736" s="236" t="str">
        <f t="shared" si="49"/>
        <v/>
      </c>
    </row>
    <row r="737" spans="1:8">
      <c r="A737" s="232">
        <f t="shared" si="46"/>
        <v>735</v>
      </c>
      <c r="B737" s="233">
        <v>46179</v>
      </c>
      <c r="C737" s="234">
        <v>229.82373199999998</v>
      </c>
      <c r="D737" s="235">
        <v>244.77613226444171</v>
      </c>
      <c r="E737" s="234">
        <f t="shared" si="47"/>
        <v>229.82373199999998</v>
      </c>
      <c r="F737" s="239"/>
      <c r="G737" s="188" t="str">
        <f t="shared" si="48"/>
        <v/>
      </c>
      <c r="H737" s="236" t="str">
        <f t="shared" si="49"/>
        <v/>
      </c>
    </row>
    <row r="738" spans="1:8">
      <c r="A738" s="232">
        <f t="shared" si="46"/>
        <v>736</v>
      </c>
      <c r="B738" s="233">
        <v>46180</v>
      </c>
      <c r="C738" s="234">
        <v>186.97265600000003</v>
      </c>
      <c r="D738" s="235">
        <v>244.77613226444171</v>
      </c>
      <c r="E738" s="234">
        <f t="shared" si="47"/>
        <v>186.97265600000003</v>
      </c>
      <c r="F738" s="239"/>
      <c r="G738" s="188" t="str">
        <f t="shared" si="48"/>
        <v/>
      </c>
      <c r="H738" s="236" t="str">
        <f t="shared" si="49"/>
        <v/>
      </c>
    </row>
    <row r="739" spans="1:8">
      <c r="A739" s="232">
        <f t="shared" si="46"/>
        <v>737</v>
      </c>
      <c r="B739" s="233">
        <v>46181</v>
      </c>
      <c r="C739" s="234">
        <v>250.87956700000001</v>
      </c>
      <c r="D739" s="235">
        <v>244.77613226444171</v>
      </c>
      <c r="E739" s="234">
        <f t="shared" si="47"/>
        <v>244.77613226444171</v>
      </c>
      <c r="F739" s="239"/>
      <c r="G739" s="188" t="str">
        <f t="shared" si="48"/>
        <v/>
      </c>
      <c r="H739" s="236" t="str">
        <f t="shared" si="49"/>
        <v/>
      </c>
    </row>
    <row r="740" spans="1:8">
      <c r="A740" s="232">
        <f t="shared" si="46"/>
        <v>738</v>
      </c>
      <c r="B740" s="233">
        <v>46182</v>
      </c>
      <c r="C740" s="234">
        <v>233.35488700000002</v>
      </c>
      <c r="D740" s="235">
        <v>244.77613226444171</v>
      </c>
      <c r="E740" s="234">
        <f t="shared" si="47"/>
        <v>233.35488700000002</v>
      </c>
      <c r="F740" s="239"/>
      <c r="G740" s="188" t="str">
        <f t="shared" si="48"/>
        <v/>
      </c>
      <c r="H740" s="236" t="str">
        <f t="shared" si="49"/>
        <v/>
      </c>
    </row>
    <row r="741" spans="1:8">
      <c r="A741" s="232">
        <f t="shared" si="46"/>
        <v>739</v>
      </c>
      <c r="B741" s="233">
        <v>46183</v>
      </c>
      <c r="C741" s="234">
        <v>216.63288699999998</v>
      </c>
      <c r="D741" s="235">
        <v>244.77613226444171</v>
      </c>
      <c r="E741" s="234">
        <f t="shared" si="47"/>
        <v>216.63288699999998</v>
      </c>
      <c r="F741" s="239"/>
      <c r="G741" s="188" t="str">
        <f t="shared" si="48"/>
        <v/>
      </c>
      <c r="H741" s="236" t="str">
        <f t="shared" si="49"/>
        <v/>
      </c>
    </row>
    <row r="742" spans="1:8">
      <c r="A742" s="232">
        <f t="shared" si="46"/>
        <v>740</v>
      </c>
      <c r="B742" s="233">
        <v>46184</v>
      </c>
      <c r="C742" s="234">
        <v>224.41812399999998</v>
      </c>
      <c r="D742" s="235">
        <v>244.77613226444171</v>
      </c>
      <c r="E742" s="234">
        <f t="shared" si="47"/>
        <v>224.41812399999998</v>
      </c>
      <c r="F742" s="239"/>
      <c r="G742" s="188" t="str">
        <f t="shared" si="48"/>
        <v/>
      </c>
      <c r="H742" s="236" t="str">
        <f t="shared" si="49"/>
        <v/>
      </c>
    </row>
    <row r="743" spans="1:8">
      <c r="A743" s="232">
        <f t="shared" si="46"/>
        <v>741</v>
      </c>
      <c r="B743" s="233">
        <v>46185</v>
      </c>
      <c r="C743" s="234">
        <v>242.751465</v>
      </c>
      <c r="D743" s="235">
        <v>244.77613226444171</v>
      </c>
      <c r="E743" s="234">
        <f t="shared" si="47"/>
        <v>242.751465</v>
      </c>
      <c r="F743" s="239"/>
      <c r="G743" s="188" t="str">
        <f t="shared" si="48"/>
        <v/>
      </c>
      <c r="H743" s="236" t="str">
        <f t="shared" si="49"/>
        <v/>
      </c>
    </row>
    <row r="744" spans="1:8">
      <c r="A744" s="232">
        <f t="shared" si="46"/>
        <v>742</v>
      </c>
      <c r="B744" s="233">
        <v>46186</v>
      </c>
      <c r="C744" s="234">
        <v>215.03872399999997</v>
      </c>
      <c r="D744" s="235">
        <v>244.77613226444171</v>
      </c>
      <c r="E744" s="234">
        <f t="shared" si="47"/>
        <v>215.03872399999997</v>
      </c>
      <c r="F744" s="239"/>
      <c r="G744" s="188" t="str">
        <f t="shared" si="48"/>
        <v/>
      </c>
      <c r="H744" s="236" t="str">
        <f t="shared" si="49"/>
        <v/>
      </c>
    </row>
    <row r="745" spans="1:8">
      <c r="A745" s="232">
        <f t="shared" si="46"/>
        <v>743</v>
      </c>
      <c r="B745" s="233">
        <v>46187</v>
      </c>
      <c r="C745" s="234">
        <v>196.41823399999998</v>
      </c>
      <c r="D745" s="235">
        <v>244.77613226444171</v>
      </c>
      <c r="E745" s="234">
        <f t="shared" si="47"/>
        <v>196.41823399999998</v>
      </c>
      <c r="F745" s="239"/>
      <c r="G745" s="188" t="str">
        <f t="shared" si="48"/>
        <v/>
      </c>
      <c r="H745" s="236" t="str">
        <f t="shared" si="49"/>
        <v/>
      </c>
    </row>
    <row r="746" spans="1:8">
      <c r="A746" s="232">
        <f t="shared" si="46"/>
        <v>744</v>
      </c>
      <c r="B746" s="233">
        <v>46188</v>
      </c>
      <c r="C746" s="234">
        <v>249.657298</v>
      </c>
      <c r="D746" s="235">
        <v>244.77613226444171</v>
      </c>
      <c r="E746" s="234">
        <f t="shared" si="47"/>
        <v>244.77613226444171</v>
      </c>
      <c r="F746" s="239"/>
      <c r="G746" s="188" t="str">
        <f t="shared" ref="G746:G760" si="50">IF(DAY(B746)=15,IF(MONTH(B746)=1,"E",IF(MONTH(B746)=2,"F",IF(MONTH(B746)=3,"M",IF(MONTH(B746)=4,"A",IF(MONTH(B746)=5,"M",IF(MONTH(B746)=6,"J",IF(MONTH(B746)=7,"J",IF(MONTH(B746)=8,"A",IF(MONTH(B746)=9,"S",IF(MONTH(B746)=10,"O",IF(MONTH(B746)=11,"N",IF(MONTH(B746)=12,"D","")))))))))))),"")</f>
        <v>J</v>
      </c>
      <c r="H746" s="236" t="str">
        <f t="shared" ref="H746:H760" si="51">IF(DAY($B746)=15,TEXT(D746,"#,0"),"")</f>
        <v>244,8</v>
      </c>
    </row>
    <row r="747" spans="1:8">
      <c r="A747" s="232">
        <f t="shared" si="46"/>
        <v>745</v>
      </c>
      <c r="B747" s="233">
        <v>46189</v>
      </c>
      <c r="C747" s="234">
        <v>250.71830099999997</v>
      </c>
      <c r="D747" s="235">
        <v>244.77613226444171</v>
      </c>
      <c r="E747" s="234">
        <f t="shared" si="47"/>
        <v>244.77613226444171</v>
      </c>
      <c r="F747" s="239"/>
      <c r="G747" s="188" t="str">
        <f t="shared" si="50"/>
        <v/>
      </c>
      <c r="H747" s="236" t="str">
        <f t="shared" si="51"/>
        <v/>
      </c>
    </row>
    <row r="748" spans="1:8">
      <c r="A748" s="232">
        <f t="shared" si="46"/>
        <v>746</v>
      </c>
      <c r="B748" s="233">
        <v>46190</v>
      </c>
      <c r="C748" s="234">
        <v>247.67928499999999</v>
      </c>
      <c r="D748" s="235">
        <v>244.77613226444171</v>
      </c>
      <c r="E748" s="234">
        <f t="shared" si="47"/>
        <v>244.77613226444171</v>
      </c>
      <c r="F748" s="239"/>
      <c r="G748" s="188" t="str">
        <f t="shared" si="50"/>
        <v/>
      </c>
      <c r="H748" s="236" t="str">
        <f t="shared" si="51"/>
        <v/>
      </c>
    </row>
    <row r="749" spans="1:8">
      <c r="A749" s="232">
        <f t="shared" si="46"/>
        <v>747</v>
      </c>
      <c r="B749" s="233">
        <v>46191</v>
      </c>
      <c r="C749" s="234">
        <v>261.07869299999999</v>
      </c>
      <c r="D749" s="235">
        <v>244.77613226444171</v>
      </c>
      <c r="E749" s="234">
        <f t="shared" si="47"/>
        <v>244.77613226444171</v>
      </c>
      <c r="F749" s="239"/>
      <c r="G749" s="188" t="str">
        <f t="shared" si="50"/>
        <v/>
      </c>
      <c r="H749" s="236" t="str">
        <f t="shared" si="51"/>
        <v/>
      </c>
    </row>
    <row r="750" spans="1:8">
      <c r="A750" s="232">
        <f t="shared" si="46"/>
        <v>748</v>
      </c>
      <c r="B750" s="233">
        <v>46192</v>
      </c>
      <c r="C750" s="234">
        <v>257.18367499999999</v>
      </c>
      <c r="D750" s="235">
        <v>244.77613226444171</v>
      </c>
      <c r="E750" s="234">
        <f t="shared" si="47"/>
        <v>244.77613226444171</v>
      </c>
      <c r="F750" s="239"/>
      <c r="G750" s="188" t="str">
        <f t="shared" si="50"/>
        <v/>
      </c>
      <c r="H750" s="236" t="str">
        <f t="shared" si="51"/>
        <v/>
      </c>
    </row>
    <row r="751" spans="1:8">
      <c r="A751" s="232">
        <f t="shared" si="46"/>
        <v>749</v>
      </c>
      <c r="B751" s="233">
        <v>46193</v>
      </c>
      <c r="C751" s="234">
        <v>230.17152100000001</v>
      </c>
      <c r="D751" s="235">
        <v>244.77613226444171</v>
      </c>
      <c r="E751" s="234">
        <f t="shared" si="47"/>
        <v>230.17152100000001</v>
      </c>
      <c r="F751" s="239"/>
      <c r="G751" s="188" t="str">
        <f t="shared" si="50"/>
        <v/>
      </c>
      <c r="H751" s="236" t="str">
        <f t="shared" si="51"/>
        <v/>
      </c>
    </row>
    <row r="752" spans="1:8">
      <c r="A752" s="232">
        <f t="shared" si="46"/>
        <v>750</v>
      </c>
      <c r="B752" s="233">
        <v>46194</v>
      </c>
      <c r="C752" s="234">
        <v>226.349996</v>
      </c>
      <c r="D752" s="235">
        <v>244.77613226444171</v>
      </c>
      <c r="E752" s="234">
        <f t="shared" si="47"/>
        <v>226.349996</v>
      </c>
      <c r="F752" s="239"/>
      <c r="G752" s="188" t="str">
        <f t="shared" si="50"/>
        <v/>
      </c>
      <c r="H752" s="236" t="str">
        <f t="shared" si="51"/>
        <v/>
      </c>
    </row>
    <row r="753" spans="1:8">
      <c r="A753" s="232">
        <f t="shared" si="46"/>
        <v>751</v>
      </c>
      <c r="B753" s="233">
        <v>46195</v>
      </c>
      <c r="C753" s="234">
        <v>240.11221599999999</v>
      </c>
      <c r="D753" s="235">
        <v>244.77613226444171</v>
      </c>
      <c r="E753" s="234">
        <f t="shared" si="47"/>
        <v>240.11221599999999</v>
      </c>
      <c r="F753" s="239"/>
      <c r="G753" s="188" t="str">
        <f t="shared" si="50"/>
        <v/>
      </c>
      <c r="H753" s="236" t="str">
        <f t="shared" si="51"/>
        <v/>
      </c>
    </row>
    <row r="754" spans="1:8">
      <c r="A754" s="232">
        <f t="shared" si="46"/>
        <v>752</v>
      </c>
      <c r="B754" s="233">
        <v>46196</v>
      </c>
      <c r="C754" s="234">
        <v>248.54756999999998</v>
      </c>
      <c r="D754" s="235">
        <v>244.77613226444171</v>
      </c>
      <c r="E754" s="234">
        <f t="shared" si="47"/>
        <v>244.77613226444171</v>
      </c>
      <c r="F754" s="239"/>
      <c r="G754" s="188" t="str">
        <f t="shared" si="50"/>
        <v/>
      </c>
      <c r="H754" s="236" t="str">
        <f t="shared" si="51"/>
        <v/>
      </c>
    </row>
    <row r="755" spans="1:8">
      <c r="A755" s="232">
        <f t="shared" si="46"/>
        <v>753</v>
      </c>
      <c r="B755" s="233">
        <v>46197</v>
      </c>
      <c r="C755" s="234">
        <v>258.68150000000003</v>
      </c>
      <c r="D755" s="235">
        <v>244.77613226444171</v>
      </c>
      <c r="E755" s="234">
        <f t="shared" si="47"/>
        <v>244.77613226444171</v>
      </c>
      <c r="F755" s="239"/>
      <c r="G755" s="188" t="str">
        <f t="shared" si="50"/>
        <v/>
      </c>
      <c r="H755" s="236" t="str">
        <f t="shared" si="51"/>
        <v/>
      </c>
    </row>
    <row r="756" spans="1:8">
      <c r="A756" s="232">
        <f t="shared" si="46"/>
        <v>754</v>
      </c>
      <c r="B756" s="233">
        <v>46198</v>
      </c>
      <c r="C756" s="234">
        <v>259.36267300000003</v>
      </c>
      <c r="D756" s="235">
        <v>244.77613226444171</v>
      </c>
      <c r="E756" s="234">
        <f t="shared" si="47"/>
        <v>244.77613226444171</v>
      </c>
      <c r="F756" s="239"/>
      <c r="G756" s="188" t="str">
        <f t="shared" si="50"/>
        <v/>
      </c>
      <c r="H756" s="236" t="str">
        <f t="shared" si="51"/>
        <v/>
      </c>
    </row>
    <row r="757" spans="1:8">
      <c r="A757" s="232">
        <f t="shared" si="46"/>
        <v>755</v>
      </c>
      <c r="B757" s="233">
        <v>46199</v>
      </c>
      <c r="C757" s="234">
        <v>272.05404700000003</v>
      </c>
      <c r="D757" s="235">
        <v>244.77613226444171</v>
      </c>
      <c r="E757" s="234">
        <f t="shared" si="47"/>
        <v>244.77613226444171</v>
      </c>
      <c r="F757" s="239"/>
      <c r="G757" s="188" t="str">
        <f t="shared" si="50"/>
        <v/>
      </c>
      <c r="H757" s="236" t="str">
        <f t="shared" si="51"/>
        <v/>
      </c>
    </row>
    <row r="758" spans="1:8">
      <c r="A758" s="232">
        <f t="shared" si="46"/>
        <v>756</v>
      </c>
      <c r="B758" s="233">
        <v>46200</v>
      </c>
      <c r="C758" s="234">
        <v>274.65496000000002</v>
      </c>
      <c r="D758" s="235">
        <v>244.77613226444171</v>
      </c>
      <c r="E758" s="234">
        <f t="shared" si="47"/>
        <v>244.77613226444171</v>
      </c>
      <c r="F758" s="239"/>
      <c r="G758" s="188" t="str">
        <f t="shared" si="50"/>
        <v/>
      </c>
      <c r="H758" s="236" t="str">
        <f t="shared" si="51"/>
        <v/>
      </c>
    </row>
    <row r="759" spans="1:8">
      <c r="A759" s="232">
        <f t="shared" si="46"/>
        <v>757</v>
      </c>
      <c r="B759" s="233">
        <v>46201</v>
      </c>
      <c r="C759" s="234">
        <v>208.73076200000003</v>
      </c>
      <c r="D759" s="235">
        <v>244.77613226444171</v>
      </c>
      <c r="E759" s="234">
        <f t="shared" si="47"/>
        <v>208.73076200000003</v>
      </c>
      <c r="F759" s="239"/>
      <c r="G759" s="188" t="str">
        <f t="shared" si="50"/>
        <v/>
      </c>
      <c r="H759" s="236" t="str">
        <f t="shared" si="51"/>
        <v/>
      </c>
    </row>
    <row r="760" spans="1:8">
      <c r="A760" s="232">
        <f t="shared" si="46"/>
        <v>758</v>
      </c>
      <c r="B760" s="233">
        <v>46202</v>
      </c>
      <c r="C760" s="234">
        <v>250.65148199999999</v>
      </c>
      <c r="D760" s="235">
        <v>244.77613226444171</v>
      </c>
      <c r="E760" s="234">
        <f t="shared" si="47"/>
        <v>244.77613226444171</v>
      </c>
      <c r="F760" s="239"/>
      <c r="G760" s="188" t="str">
        <f t="shared" si="50"/>
        <v/>
      </c>
      <c r="H760" s="236" t="str">
        <f t="shared" si="51"/>
        <v/>
      </c>
    </row>
    <row r="761" spans="1:8">
      <c r="A761" s="232">
        <f t="shared" si="46"/>
        <v>759</v>
      </c>
      <c r="B761" s="233">
        <v>46203</v>
      </c>
      <c r="C761" s="234">
        <v>281.30059299999999</v>
      </c>
      <c r="D761" s="235">
        <v>244.77613226444171</v>
      </c>
      <c r="E761" s="234">
        <f t="shared" ref="E761" si="52">IF(C761&gt;D761,D761,C761)</f>
        <v>244.77613226444171</v>
      </c>
      <c r="F761" s="239"/>
      <c r="G761" s="188"/>
      <c r="H761" s="236"/>
    </row>
    <row r="762" spans="1:8">
      <c r="B762" s="233"/>
      <c r="C762" s="234"/>
      <c r="D762" s="235"/>
      <c r="E762" s="234"/>
      <c r="F762" s="239"/>
      <c r="G762" s="188"/>
      <c r="H762" s="236"/>
    </row>
    <row r="763" spans="1:8">
      <c r="B763" s="233"/>
      <c r="C763" s="234"/>
      <c r="D763" s="235"/>
      <c r="E763" s="234"/>
      <c r="F763" s="239"/>
      <c r="G763" s="188"/>
      <c r="H763" s="236"/>
    </row>
    <row r="764" spans="1:8">
      <c r="B764" s="233"/>
    </row>
    <row r="765" spans="1:8">
      <c r="B765" s="233"/>
    </row>
    <row r="766" spans="1:8">
      <c r="B766" s="233"/>
    </row>
    <row r="767" spans="1:8">
      <c r="B767" s="233"/>
    </row>
    <row r="768" spans="1:8">
      <c r="B768" s="233"/>
    </row>
    <row r="769" spans="2:2">
      <c r="B769" s="233"/>
    </row>
    <row r="770" spans="2:2">
      <c r="B770" s="233"/>
    </row>
    <row r="771" spans="2:2">
      <c r="B771" s="233"/>
    </row>
    <row r="772" spans="2:2">
      <c r="B772" s="233"/>
    </row>
    <row r="773" spans="2:2">
      <c r="B773" s="233"/>
    </row>
    <row r="774" spans="2:2">
      <c r="B774" s="233"/>
    </row>
    <row r="775" spans="2:2">
      <c r="B775" s="233"/>
    </row>
    <row r="776" spans="2:2">
      <c r="B776" s="233"/>
    </row>
    <row r="777" spans="2:2">
      <c r="B777" s="233"/>
    </row>
    <row r="778" spans="2:2">
      <c r="B778" s="233"/>
    </row>
    <row r="779" spans="2:2">
      <c r="B779" s="233"/>
    </row>
    <row r="780" spans="2:2">
      <c r="B780" s="233"/>
    </row>
    <row r="781" spans="2:2">
      <c r="B781" s="233"/>
    </row>
    <row r="782" spans="2:2">
      <c r="B782" s="233"/>
    </row>
    <row r="783" spans="2:2">
      <c r="B783" s="233"/>
    </row>
    <row r="784" spans="2:2">
      <c r="B784" s="233"/>
    </row>
    <row r="785" spans="2:2">
      <c r="B785" s="233"/>
    </row>
    <row r="786" spans="2:2">
      <c r="B786" s="233"/>
    </row>
    <row r="787" spans="2:2">
      <c r="B787" s="233"/>
    </row>
    <row r="788" spans="2:2">
      <c r="B788" s="233"/>
    </row>
    <row r="789" spans="2:2">
      <c r="B789" s="233"/>
    </row>
    <row r="790" spans="2:2">
      <c r="B790" s="233"/>
    </row>
    <row r="791" spans="2:2">
      <c r="B791" s="233"/>
    </row>
    <row r="792" spans="2:2">
      <c r="B792" s="233"/>
    </row>
    <row r="793" spans="2:2">
      <c r="B793" s="233"/>
    </row>
    <row r="794" spans="2:2">
      <c r="B794" s="233"/>
    </row>
    <row r="795" spans="2:2">
      <c r="B795" s="233"/>
    </row>
    <row r="796" spans="2:2">
      <c r="B796" s="233"/>
    </row>
    <row r="797" spans="2:2">
      <c r="B797" s="233"/>
    </row>
    <row r="798" spans="2:2">
      <c r="B798" s="233"/>
    </row>
    <row r="799" spans="2:2">
      <c r="B799" s="233"/>
    </row>
    <row r="800" spans="2:2">
      <c r="B800" s="233"/>
    </row>
    <row r="801" spans="2:2">
      <c r="B801" s="233"/>
    </row>
    <row r="802" spans="2:2">
      <c r="B802" s="233"/>
    </row>
    <row r="803" spans="2:2">
      <c r="B803" s="233"/>
    </row>
    <row r="804" spans="2:2">
      <c r="B804" s="233"/>
    </row>
    <row r="805" spans="2:2">
      <c r="B805" s="233"/>
    </row>
    <row r="806" spans="2:2">
      <c r="B806" s="233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2FB4-F836-42EA-9C13-D0D76CE82160}">
  <dimension ref="A1:Z103"/>
  <sheetViews>
    <sheetView topLeftCell="A57" workbookViewId="0">
      <selection activeCell="B84" sqref="B84"/>
    </sheetView>
  </sheetViews>
  <sheetFormatPr baseColWidth="10" defaultRowHeight="12.75"/>
  <cols>
    <col min="1" max="1" width="26.7109375" bestFit="1" customWidth="1"/>
    <col min="2" max="2" width="17.7109375" bestFit="1" customWidth="1"/>
    <col min="3" max="3" width="17.5703125" bestFit="1" customWidth="1"/>
    <col min="4" max="4" width="10.5703125" bestFit="1" customWidth="1"/>
    <col min="5" max="5" width="14.140625" bestFit="1" customWidth="1"/>
    <col min="6" max="6" width="11.140625" bestFit="1" customWidth="1"/>
    <col min="7" max="7" width="13.42578125" bestFit="1" customWidth="1"/>
    <col min="8" max="8" width="12.85546875" bestFit="1" customWidth="1"/>
    <col min="9" max="9" width="9.5703125" bestFit="1" customWidth="1"/>
    <col min="10" max="10" width="11.140625" bestFit="1" customWidth="1"/>
    <col min="11" max="11" width="9.7109375" bestFit="1" customWidth="1"/>
    <col min="12" max="14" width="9.5703125" bestFit="1" customWidth="1"/>
  </cols>
  <sheetData>
    <row r="1" spans="1:14">
      <c r="A1" s="167" t="s">
        <v>28</v>
      </c>
      <c r="B1" s="167" t="s">
        <v>103</v>
      </c>
    </row>
    <row r="2" spans="1:14">
      <c r="A2" s="292" t="s">
        <v>287</v>
      </c>
      <c r="B2" s="292" t="s">
        <v>288</v>
      </c>
    </row>
    <row r="4" spans="1:14">
      <c r="A4" s="312" t="s">
        <v>238</v>
      </c>
      <c r="B4" s="312" t="s">
        <v>93</v>
      </c>
    </row>
    <row r="5" spans="1:14">
      <c r="A5" s="248" t="s">
        <v>101</v>
      </c>
      <c r="B5" s="359" t="s">
        <v>239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1:14">
      <c r="A6" s="248" t="s">
        <v>28</v>
      </c>
      <c r="B6" s="249" t="s">
        <v>240</v>
      </c>
      <c r="C6" s="249" t="s">
        <v>241</v>
      </c>
      <c r="D6" s="249" t="s">
        <v>242</v>
      </c>
      <c r="E6" s="249" t="s">
        <v>243</v>
      </c>
      <c r="F6" s="249" t="s">
        <v>244</v>
      </c>
      <c r="G6" s="249" t="s">
        <v>237</v>
      </c>
      <c r="H6" s="249" t="s">
        <v>270</v>
      </c>
      <c r="I6" s="249" t="s">
        <v>275</v>
      </c>
      <c r="J6" s="249" t="s">
        <v>278</v>
      </c>
      <c r="K6" s="249" t="s">
        <v>280</v>
      </c>
      <c r="L6" s="249" t="s">
        <v>282</v>
      </c>
      <c r="M6" s="249" t="s">
        <v>284</v>
      </c>
      <c r="N6" s="249" t="s">
        <v>291</v>
      </c>
    </row>
    <row r="7" spans="1:14">
      <c r="A7" s="248" t="s">
        <v>165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>
      <c r="A8" s="219" t="s">
        <v>9</v>
      </c>
      <c r="B8" s="313">
        <v>1586.144704</v>
      </c>
      <c r="C8" s="313">
        <v>1578.455504</v>
      </c>
      <c r="D8" s="313">
        <v>1578.4714039999999</v>
      </c>
      <c r="E8" s="313">
        <v>1577.4839039999999</v>
      </c>
      <c r="F8" s="313">
        <v>1577.4879040000001</v>
      </c>
      <c r="G8" s="313">
        <v>1569.1569039999999</v>
      </c>
      <c r="H8" s="313">
        <v>1563.960904</v>
      </c>
      <c r="I8" s="313">
        <v>1648.0655039999999</v>
      </c>
      <c r="J8" s="313">
        <v>1671.8155039999999</v>
      </c>
      <c r="K8" s="313">
        <v>1638.946504</v>
      </c>
      <c r="L8" s="313">
        <v>1638.946504</v>
      </c>
      <c r="M8" s="313">
        <v>1639.772504</v>
      </c>
      <c r="N8" s="313">
        <v>1631.399864</v>
      </c>
    </row>
    <row r="9" spans="1:14">
      <c r="A9" s="219" t="s">
        <v>5</v>
      </c>
      <c r="B9" s="313">
        <v>0.168735</v>
      </c>
      <c r="C9" s="313">
        <v>0.168735</v>
      </c>
      <c r="D9" s="313">
        <v>0.168735</v>
      </c>
      <c r="E9" s="313">
        <v>0.168735</v>
      </c>
      <c r="F9" s="313">
        <v>0.24573500000000001</v>
      </c>
      <c r="G9" s="313">
        <v>0.34573500000000001</v>
      </c>
      <c r="H9" s="313">
        <v>0.34573500000000001</v>
      </c>
      <c r="I9" s="313">
        <v>0.34573500000000001</v>
      </c>
      <c r="J9" s="313">
        <v>0.34573500000000001</v>
      </c>
      <c r="K9" s="313">
        <v>0.34573500000000001</v>
      </c>
      <c r="L9" s="313">
        <v>0.34573500000000001</v>
      </c>
      <c r="M9" s="313">
        <v>0.34573500000000001</v>
      </c>
      <c r="N9" s="313">
        <v>0.34573500000000001</v>
      </c>
    </row>
    <row r="10" spans="1:14">
      <c r="A10" s="219" t="s">
        <v>2</v>
      </c>
      <c r="B10" s="313">
        <v>14.945349999999999</v>
      </c>
      <c r="C10" s="313">
        <v>14.945349999999999</v>
      </c>
      <c r="D10" s="313">
        <v>14.945349999999999</v>
      </c>
      <c r="E10" s="313">
        <v>14.945349999999999</v>
      </c>
      <c r="F10" s="313">
        <v>18.09535</v>
      </c>
      <c r="G10" s="313">
        <v>18.105149999999998</v>
      </c>
      <c r="H10" s="313">
        <v>18.105149999999998</v>
      </c>
      <c r="I10" s="313">
        <v>18.105149999999998</v>
      </c>
      <c r="J10" s="313">
        <v>18.105149999999998</v>
      </c>
      <c r="K10" s="313">
        <v>18.105149999999998</v>
      </c>
      <c r="L10" s="313">
        <v>18.105149999999998</v>
      </c>
      <c r="M10" s="313">
        <v>18.135149999999999</v>
      </c>
      <c r="N10" s="313">
        <v>18.135149999999999</v>
      </c>
    </row>
    <row r="11" spans="1:14">
      <c r="A11" s="219" t="s">
        <v>124</v>
      </c>
      <c r="B11" s="313">
        <v>300.01060000000001</v>
      </c>
      <c r="C11" s="313">
        <v>301.3116</v>
      </c>
      <c r="D11" s="313">
        <v>301.3116</v>
      </c>
      <c r="E11" s="313">
        <v>301.3116</v>
      </c>
      <c r="F11" s="313">
        <v>301.41160000000002</v>
      </c>
      <c r="G11" s="313">
        <v>301.57159999999999</v>
      </c>
      <c r="H11" s="313">
        <v>301.57159999999999</v>
      </c>
      <c r="I11" s="313">
        <v>301.57159999999999</v>
      </c>
      <c r="J11" s="313">
        <v>301.57159999999999</v>
      </c>
      <c r="K11" s="313">
        <v>301.57159999999999</v>
      </c>
      <c r="L11" s="313">
        <v>301.73160000000001</v>
      </c>
      <c r="M11" s="313">
        <v>301.73160000000001</v>
      </c>
      <c r="N11" s="313">
        <v>301.73160000000001</v>
      </c>
    </row>
    <row r="12" spans="1:14">
      <c r="A12" s="219" t="s">
        <v>163</v>
      </c>
      <c r="B12" s="313">
        <v>103.80074999999999</v>
      </c>
      <c r="C12" s="313">
        <v>103.80074999999999</v>
      </c>
      <c r="D12" s="313">
        <v>103.80074999999999</v>
      </c>
      <c r="E12" s="313">
        <v>103.80074999999999</v>
      </c>
      <c r="F12" s="313">
        <v>103.80074999999999</v>
      </c>
      <c r="G12" s="313">
        <v>103.80074999999999</v>
      </c>
      <c r="H12" s="313">
        <v>103.80074999999999</v>
      </c>
      <c r="I12" s="313">
        <v>103.80074999999999</v>
      </c>
      <c r="J12" s="313">
        <v>103.80074999999999</v>
      </c>
      <c r="K12" s="313">
        <v>103.80074999999999</v>
      </c>
      <c r="L12" s="313">
        <v>103.80074999999999</v>
      </c>
      <c r="M12" s="313">
        <v>103.80074999999999</v>
      </c>
      <c r="N12" s="313">
        <v>103.80074999999999</v>
      </c>
    </row>
    <row r="13" spans="1:14">
      <c r="A13" s="219" t="s">
        <v>123</v>
      </c>
      <c r="B13" s="313">
        <v>32.142499999999998</v>
      </c>
      <c r="C13" s="313">
        <v>32.142499999999998</v>
      </c>
      <c r="D13" s="313">
        <v>32.142499999999998</v>
      </c>
      <c r="E13" s="313">
        <v>32.142499999999998</v>
      </c>
      <c r="F13" s="313">
        <v>32.142499999999998</v>
      </c>
      <c r="G13" s="313">
        <v>32.142499999999998</v>
      </c>
      <c r="H13" s="313">
        <v>32.142499999999998</v>
      </c>
      <c r="I13" s="313">
        <v>32.142499999999998</v>
      </c>
      <c r="J13" s="313">
        <v>32.142499999999998</v>
      </c>
      <c r="K13" s="313">
        <v>32.142499999999998</v>
      </c>
      <c r="L13" s="313">
        <v>32.142499999999998</v>
      </c>
      <c r="M13" s="313">
        <v>32.142499999999998</v>
      </c>
      <c r="N13" s="313">
        <v>32.142499999999998</v>
      </c>
    </row>
    <row r="14" spans="1:14">
      <c r="A14" s="219" t="s">
        <v>121</v>
      </c>
      <c r="B14" s="313">
        <v>7649.5504360000004</v>
      </c>
      <c r="C14" s="313">
        <v>7734.8241330000001</v>
      </c>
      <c r="D14" s="313">
        <v>7895.3400840000004</v>
      </c>
      <c r="E14" s="313">
        <v>8103.0480219999999</v>
      </c>
      <c r="F14" s="313">
        <v>8200.6682230000006</v>
      </c>
      <c r="G14" s="313">
        <v>8278.2396499999995</v>
      </c>
      <c r="H14" s="313">
        <v>8472.2224139999998</v>
      </c>
      <c r="I14" s="313">
        <v>8560.4872450000003</v>
      </c>
      <c r="J14" s="313">
        <v>8629.2882229999996</v>
      </c>
      <c r="K14" s="313">
        <v>8713.3628669999998</v>
      </c>
      <c r="L14" s="313">
        <v>8784.6677259999997</v>
      </c>
      <c r="M14" s="313">
        <v>8840.1490090000007</v>
      </c>
      <c r="N14" s="313">
        <v>8960.7116800000003</v>
      </c>
    </row>
    <row r="15" spans="1:14">
      <c r="A15" s="219" t="s">
        <v>122</v>
      </c>
      <c r="B15" s="313">
        <v>1.1065700000000001</v>
      </c>
      <c r="C15" s="313">
        <v>1.1160699999999999</v>
      </c>
      <c r="D15" s="313">
        <v>1.1160699999999999</v>
      </c>
      <c r="E15" s="313">
        <v>1.12107</v>
      </c>
      <c r="F15" s="313">
        <v>1.13107</v>
      </c>
      <c r="G15" s="313">
        <v>1.1446700000000001</v>
      </c>
      <c r="H15" s="313">
        <v>1.18652</v>
      </c>
      <c r="I15" s="313">
        <v>1.20252</v>
      </c>
      <c r="J15" s="313">
        <v>1.21652</v>
      </c>
      <c r="K15" s="313">
        <v>1.2225200000000001</v>
      </c>
      <c r="L15" s="313">
        <v>1.2345200000000001</v>
      </c>
      <c r="M15" s="313">
        <v>1.2385200000000001</v>
      </c>
      <c r="N15" s="313">
        <v>1.2505200000000001</v>
      </c>
    </row>
    <row r="16" spans="1:14">
      <c r="A16" s="219" t="s">
        <v>197</v>
      </c>
      <c r="B16" s="313">
        <v>5</v>
      </c>
      <c r="C16" s="313">
        <v>5</v>
      </c>
      <c r="D16" s="313">
        <v>5</v>
      </c>
      <c r="E16" s="313">
        <v>5</v>
      </c>
      <c r="F16" s="313">
        <v>5</v>
      </c>
      <c r="G16" s="313">
        <v>5</v>
      </c>
      <c r="H16" s="313">
        <v>5</v>
      </c>
      <c r="I16" s="313">
        <v>5</v>
      </c>
      <c r="J16" s="313">
        <v>5</v>
      </c>
      <c r="K16" s="313">
        <v>5</v>
      </c>
      <c r="L16" s="313">
        <v>5</v>
      </c>
      <c r="M16" s="313">
        <v>5</v>
      </c>
      <c r="N16" s="313">
        <v>5</v>
      </c>
    </row>
    <row r="17" spans="1:15">
      <c r="A17" s="314" t="s">
        <v>15</v>
      </c>
      <c r="B17" s="315">
        <v>9692.8696450000007</v>
      </c>
      <c r="C17" s="315">
        <v>9771.7646420000001</v>
      </c>
      <c r="D17" s="315">
        <v>9932.2964929999998</v>
      </c>
      <c r="E17" s="315">
        <v>10139.021930999999</v>
      </c>
      <c r="F17" s="315">
        <v>10239.983131999999</v>
      </c>
      <c r="G17" s="315">
        <v>10309.506959</v>
      </c>
      <c r="H17" s="315">
        <v>10498.335573</v>
      </c>
      <c r="I17" s="315">
        <v>10670.721004000001</v>
      </c>
      <c r="J17" s="315">
        <v>10763.285981999999</v>
      </c>
      <c r="K17" s="315">
        <v>10814.497626</v>
      </c>
      <c r="L17" s="315">
        <v>10885.974485000001</v>
      </c>
      <c r="M17" s="315">
        <v>10942.315768</v>
      </c>
      <c r="N17" s="315">
        <v>11054.517798999999</v>
      </c>
      <c r="O17" s="297">
        <f>(+N17/B17-1)*100</f>
        <v>14.047936306482733</v>
      </c>
    </row>
    <row r="19" spans="1:15">
      <c r="A19" s="312" t="s">
        <v>238</v>
      </c>
      <c r="B19" s="312" t="s">
        <v>93</v>
      </c>
    </row>
    <row r="20" spans="1:15">
      <c r="A20" s="248" t="s">
        <v>101</v>
      </c>
      <c r="B20" s="359" t="s">
        <v>239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</row>
    <row r="21" spans="1:15">
      <c r="A21" s="248" t="s">
        <v>28</v>
      </c>
      <c r="B21" s="249" t="s">
        <v>240</v>
      </c>
      <c r="C21" s="249" t="s">
        <v>241</v>
      </c>
      <c r="D21" s="249" t="s">
        <v>242</v>
      </c>
      <c r="E21" s="249" t="s">
        <v>243</v>
      </c>
      <c r="F21" s="249" t="s">
        <v>244</v>
      </c>
      <c r="G21" s="249" t="s">
        <v>237</v>
      </c>
      <c r="H21" s="249" t="s">
        <v>270</v>
      </c>
      <c r="I21" s="249" t="s">
        <v>275</v>
      </c>
      <c r="J21" s="249" t="s">
        <v>278</v>
      </c>
      <c r="K21" s="249" t="s">
        <v>280</v>
      </c>
      <c r="L21" s="249" t="s">
        <v>282</v>
      </c>
      <c r="M21" s="249" t="s">
        <v>284</v>
      </c>
      <c r="N21" s="249" t="s">
        <v>291</v>
      </c>
    </row>
    <row r="22" spans="1:15">
      <c r="A22" s="248" t="s">
        <v>165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</row>
    <row r="23" spans="1:15">
      <c r="A23" s="219" t="s">
        <v>4</v>
      </c>
      <c r="B23" s="313">
        <v>1819.9749999999999</v>
      </c>
      <c r="C23" s="313">
        <v>1258.0899999999999</v>
      </c>
      <c r="D23" s="313">
        <v>1258.0899999999999</v>
      </c>
      <c r="E23" s="313">
        <v>1258.0899999999999</v>
      </c>
      <c r="F23" s="313">
        <v>1258.0899999999999</v>
      </c>
      <c r="G23" s="313">
        <v>1258.0899999999999</v>
      </c>
      <c r="H23" s="313">
        <v>1258.0899999999999</v>
      </c>
      <c r="I23" s="313">
        <v>1258.0899999999999</v>
      </c>
      <c r="J23" s="313">
        <v>1258.0899999999999</v>
      </c>
      <c r="K23" s="313">
        <v>1258.0899999999999</v>
      </c>
      <c r="L23" s="313">
        <v>1258.0899999999999</v>
      </c>
      <c r="M23" s="313">
        <v>1258.0899999999999</v>
      </c>
      <c r="N23" s="313">
        <v>1258.0899999999999</v>
      </c>
    </row>
    <row r="24" spans="1:15">
      <c r="A24" s="219" t="s">
        <v>120</v>
      </c>
      <c r="B24" s="313">
        <v>24561.845000000001</v>
      </c>
      <c r="C24" s="313">
        <v>24561.845000000001</v>
      </c>
      <c r="D24" s="313">
        <v>24561.845000000001</v>
      </c>
      <c r="E24" s="313">
        <v>24561.845000000001</v>
      </c>
      <c r="F24" s="313">
        <v>24561.845000000001</v>
      </c>
      <c r="G24" s="313">
        <v>24561.845000000001</v>
      </c>
      <c r="H24" s="313">
        <v>24561.845000000001</v>
      </c>
      <c r="I24" s="313">
        <v>24561.845000000001</v>
      </c>
      <c r="J24" s="313">
        <v>24561.845000000001</v>
      </c>
      <c r="K24" s="313">
        <v>24561.845000000001</v>
      </c>
      <c r="L24" s="313">
        <v>24561.845000000001</v>
      </c>
      <c r="M24" s="313">
        <v>24561.845000000001</v>
      </c>
      <c r="N24" s="313">
        <v>24561.845000000001</v>
      </c>
    </row>
    <row r="25" spans="1:15">
      <c r="A25" s="219" t="s">
        <v>9</v>
      </c>
      <c r="B25" s="313">
        <v>5412.4088039999997</v>
      </c>
      <c r="C25" s="313">
        <v>5230.6490039999999</v>
      </c>
      <c r="D25" s="313">
        <v>5225.6649040000002</v>
      </c>
      <c r="E25" s="313">
        <v>5225.1824040000001</v>
      </c>
      <c r="F25" s="313">
        <v>5213.7824039999996</v>
      </c>
      <c r="G25" s="313">
        <v>5207.092404</v>
      </c>
      <c r="H25" s="313">
        <v>5201.8964040000001</v>
      </c>
      <c r="I25" s="313">
        <v>5201.931004</v>
      </c>
      <c r="J25" s="313">
        <v>5205.3865040000001</v>
      </c>
      <c r="K25" s="313">
        <v>5205.3925040000004</v>
      </c>
      <c r="L25" s="313">
        <v>5204.3935039999997</v>
      </c>
      <c r="M25" s="313">
        <v>5205.2195039999997</v>
      </c>
      <c r="N25" s="313">
        <v>5205.2268640000002</v>
      </c>
    </row>
    <row r="26" spans="1:15">
      <c r="A26" s="219" t="s">
        <v>5</v>
      </c>
      <c r="B26" s="313">
        <v>32099.782234999999</v>
      </c>
      <c r="C26" s="313">
        <v>32260.642234999999</v>
      </c>
      <c r="D26" s="313">
        <v>32478.542235000001</v>
      </c>
      <c r="E26" s="313">
        <v>32435.422234999998</v>
      </c>
      <c r="F26" s="313">
        <v>32437.499234999999</v>
      </c>
      <c r="G26" s="313">
        <v>32472.669235000001</v>
      </c>
      <c r="H26" s="313">
        <v>32597.639234999999</v>
      </c>
      <c r="I26" s="313">
        <v>32630.929235</v>
      </c>
      <c r="J26" s="313">
        <v>32702.609235</v>
      </c>
      <c r="K26" s="313">
        <v>32867.409234999999</v>
      </c>
      <c r="L26" s="313">
        <v>32867.409234999999</v>
      </c>
      <c r="M26" s="313">
        <v>32828.529235000002</v>
      </c>
      <c r="N26" s="313">
        <v>32828.529235000002</v>
      </c>
    </row>
    <row r="27" spans="1:15">
      <c r="A27" s="219" t="s">
        <v>219</v>
      </c>
      <c r="B27" s="313">
        <v>7.95</v>
      </c>
      <c r="C27" s="313">
        <v>7.95</v>
      </c>
      <c r="D27" s="313">
        <v>7.95</v>
      </c>
      <c r="E27" s="313">
        <v>7.95</v>
      </c>
      <c r="F27" s="313">
        <v>7.95</v>
      </c>
      <c r="G27" s="313">
        <v>7.95</v>
      </c>
      <c r="H27" s="313">
        <v>7.95</v>
      </c>
      <c r="I27" s="313">
        <v>7.95</v>
      </c>
      <c r="J27" s="313">
        <v>7.95</v>
      </c>
      <c r="K27" s="313">
        <v>7.95</v>
      </c>
      <c r="L27" s="313">
        <v>7.95</v>
      </c>
      <c r="M27" s="313">
        <v>7.95</v>
      </c>
      <c r="N27" s="313">
        <v>7.95</v>
      </c>
    </row>
    <row r="28" spans="1:15">
      <c r="A28" s="219" t="s">
        <v>2</v>
      </c>
      <c r="B28" s="313">
        <v>17089.73688</v>
      </c>
      <c r="C28" s="313">
        <v>17076.027880000001</v>
      </c>
      <c r="D28" s="313">
        <v>17076.027880000001</v>
      </c>
      <c r="E28" s="313">
        <v>17076.027880000001</v>
      </c>
      <c r="F28" s="313">
        <v>17076.027880000001</v>
      </c>
      <c r="G28" s="313">
        <v>17076.037680000001</v>
      </c>
      <c r="H28" s="313">
        <v>17076.037680000001</v>
      </c>
      <c r="I28" s="313">
        <v>17076.037680000001</v>
      </c>
      <c r="J28" s="313">
        <v>17075.038680000001</v>
      </c>
      <c r="K28" s="313">
        <v>17075.038680000001</v>
      </c>
      <c r="L28" s="313">
        <v>17075.038680000001</v>
      </c>
      <c r="M28" s="313">
        <v>17075.06868</v>
      </c>
      <c r="N28" s="313">
        <v>17073.858680000001</v>
      </c>
    </row>
    <row r="29" spans="1:15">
      <c r="A29" s="219" t="s">
        <v>3</v>
      </c>
      <c r="B29" s="313">
        <v>7117.29</v>
      </c>
      <c r="C29" s="313">
        <v>7117.29</v>
      </c>
      <c r="D29" s="313">
        <v>7117.29</v>
      </c>
      <c r="E29" s="313">
        <v>7117.29</v>
      </c>
      <c r="F29" s="313">
        <v>7117.29</v>
      </c>
      <c r="G29" s="313">
        <v>7117.29</v>
      </c>
      <c r="H29" s="313">
        <v>7117.29</v>
      </c>
      <c r="I29" s="313">
        <v>7117.29</v>
      </c>
      <c r="J29" s="313">
        <v>7117.29</v>
      </c>
      <c r="K29" s="313">
        <v>7117.29</v>
      </c>
      <c r="L29" s="313">
        <v>7117.29</v>
      </c>
      <c r="M29" s="313">
        <v>7117.29</v>
      </c>
      <c r="N29" s="313">
        <v>7117.29</v>
      </c>
    </row>
    <row r="30" spans="1:15">
      <c r="A30" s="219" t="s">
        <v>124</v>
      </c>
      <c r="B30" s="313">
        <v>1145.8466000000001</v>
      </c>
      <c r="C30" s="313">
        <v>1132.6536000000001</v>
      </c>
      <c r="D30" s="313">
        <v>1132.6536000000001</v>
      </c>
      <c r="E30" s="313">
        <v>1133.2536</v>
      </c>
      <c r="F30" s="313">
        <v>1130.9036000000001</v>
      </c>
      <c r="G30" s="313">
        <v>1130.9036000000001</v>
      </c>
      <c r="H30" s="313">
        <v>1130.9036000000001</v>
      </c>
      <c r="I30" s="313">
        <v>1126.9036000000001</v>
      </c>
      <c r="J30" s="313">
        <v>1126.1035999999999</v>
      </c>
      <c r="K30" s="313">
        <v>1126.1035999999999</v>
      </c>
      <c r="L30" s="313">
        <v>1126.1035999999999</v>
      </c>
      <c r="M30" s="313">
        <v>1126.1035999999999</v>
      </c>
      <c r="N30" s="313">
        <v>1126.1035999999999</v>
      </c>
    </row>
    <row r="31" spans="1:15">
      <c r="A31" s="219" t="s">
        <v>163</v>
      </c>
      <c r="B31" s="313">
        <v>387.28975000000003</v>
      </c>
      <c r="C31" s="313">
        <v>378.35174999999998</v>
      </c>
      <c r="D31" s="313">
        <v>378.35174999999998</v>
      </c>
      <c r="E31" s="313">
        <v>378.35174999999998</v>
      </c>
      <c r="F31" s="313">
        <v>378.35174999999998</v>
      </c>
      <c r="G31" s="313">
        <v>378.35174999999998</v>
      </c>
      <c r="H31" s="313">
        <v>378.35174999999998</v>
      </c>
      <c r="I31" s="313">
        <v>378.35174999999998</v>
      </c>
      <c r="J31" s="313">
        <v>378.35174999999998</v>
      </c>
      <c r="K31" s="313">
        <v>378.35174999999998</v>
      </c>
      <c r="L31" s="313">
        <v>378.35174999999998</v>
      </c>
      <c r="M31" s="313">
        <v>378.35174999999998</v>
      </c>
      <c r="N31" s="313">
        <v>378.35174999999998</v>
      </c>
    </row>
    <row r="32" spans="1:15">
      <c r="A32" s="219" t="s">
        <v>123</v>
      </c>
      <c r="B32" s="313">
        <v>131.63050000000001</v>
      </c>
      <c r="C32" s="313">
        <v>131.63050000000001</v>
      </c>
      <c r="D32" s="313">
        <v>131.63050000000001</v>
      </c>
      <c r="E32" s="313">
        <v>131.63050000000001</v>
      </c>
      <c r="F32" s="313">
        <v>131.63050000000001</v>
      </c>
      <c r="G32" s="313">
        <v>131.63050000000001</v>
      </c>
      <c r="H32" s="313">
        <v>131.63050000000001</v>
      </c>
      <c r="I32" s="313">
        <v>131.63050000000001</v>
      </c>
      <c r="J32" s="313">
        <v>131.63050000000001</v>
      </c>
      <c r="K32" s="313">
        <v>131.63050000000001</v>
      </c>
      <c r="L32" s="313">
        <v>131.63050000000001</v>
      </c>
      <c r="M32" s="313">
        <v>131.63050000000001</v>
      </c>
      <c r="N32" s="313">
        <v>131.63050000000001</v>
      </c>
    </row>
    <row r="33" spans="1:26">
      <c r="A33" s="219" t="s">
        <v>121</v>
      </c>
      <c r="B33" s="313">
        <v>43473.376364999996</v>
      </c>
      <c r="C33" s="313">
        <v>44987.191961999997</v>
      </c>
      <c r="D33" s="313">
        <v>45580.202593000002</v>
      </c>
      <c r="E33" s="313">
        <v>46325.536241000002</v>
      </c>
      <c r="F33" s="313">
        <v>47428.490836999998</v>
      </c>
      <c r="G33" s="313">
        <v>48410.656218999997</v>
      </c>
      <c r="H33" s="313">
        <v>49222.221082999997</v>
      </c>
      <c r="I33" s="313">
        <v>50304.780014000004</v>
      </c>
      <c r="J33" s="313">
        <v>51169.167372000004</v>
      </c>
      <c r="K33" s="313">
        <v>52176.353836000002</v>
      </c>
      <c r="L33" s="313">
        <v>52475.599394999997</v>
      </c>
      <c r="M33" s="313">
        <v>53286.018927999998</v>
      </c>
      <c r="N33" s="313">
        <v>53473.279198999997</v>
      </c>
    </row>
    <row r="34" spans="1:26">
      <c r="A34" s="219" t="s">
        <v>122</v>
      </c>
      <c r="B34" s="313">
        <v>2303.3295699999999</v>
      </c>
      <c r="C34" s="313">
        <v>2301.9390699999999</v>
      </c>
      <c r="D34" s="313">
        <v>2301.9390699999999</v>
      </c>
      <c r="E34" s="313">
        <v>2301.94407</v>
      </c>
      <c r="F34" s="313">
        <v>2301.9540699999998</v>
      </c>
      <c r="G34" s="313">
        <v>2301.96767</v>
      </c>
      <c r="H34" s="313">
        <v>2302.0095200000001</v>
      </c>
      <c r="I34" s="313">
        <v>2302.0255200000001</v>
      </c>
      <c r="J34" s="313">
        <v>2302.0395199999998</v>
      </c>
      <c r="K34" s="313">
        <v>2302.0455200000001</v>
      </c>
      <c r="L34" s="313">
        <v>2302.0575199999998</v>
      </c>
      <c r="M34" s="313">
        <v>2302.0615200000002</v>
      </c>
      <c r="N34" s="313">
        <v>2302.0735199999999</v>
      </c>
    </row>
    <row r="35" spans="1:26">
      <c r="A35" s="219" t="s">
        <v>78</v>
      </c>
      <c r="B35" s="313">
        <v>3331.4</v>
      </c>
      <c r="C35" s="313">
        <v>3331.4</v>
      </c>
      <c r="D35" s="313">
        <v>3331.4</v>
      </c>
      <c r="E35" s="313">
        <v>3331.4</v>
      </c>
      <c r="F35" s="313">
        <v>3331.4</v>
      </c>
      <c r="G35" s="313">
        <v>3331.4</v>
      </c>
      <c r="H35" s="313">
        <v>3331.4</v>
      </c>
      <c r="I35" s="313">
        <v>3331.4</v>
      </c>
      <c r="J35" s="313">
        <v>3331.4</v>
      </c>
      <c r="K35" s="313">
        <v>3331.4</v>
      </c>
      <c r="L35" s="313">
        <v>3331.4</v>
      </c>
      <c r="M35" s="313">
        <v>3331.4</v>
      </c>
      <c r="N35" s="313">
        <v>3331.4</v>
      </c>
    </row>
    <row r="36" spans="1:26">
      <c r="A36" s="219" t="s">
        <v>220</v>
      </c>
      <c r="B36" s="313">
        <v>0</v>
      </c>
      <c r="C36" s="313">
        <v>561.88499999999999</v>
      </c>
      <c r="D36" s="313">
        <v>561.88499999999999</v>
      </c>
      <c r="E36" s="313">
        <v>561.88499999999999</v>
      </c>
      <c r="F36" s="313">
        <v>561.88499999999999</v>
      </c>
      <c r="G36" s="313">
        <v>561.88499999999999</v>
      </c>
      <c r="H36" s="313">
        <v>561.88499999999999</v>
      </c>
      <c r="I36" s="313">
        <v>561.88499999999999</v>
      </c>
      <c r="J36" s="313">
        <v>561.88499999999999</v>
      </c>
      <c r="K36" s="313">
        <v>561.88499999999999</v>
      </c>
      <c r="L36" s="313">
        <v>561.88499999999999</v>
      </c>
      <c r="M36" s="313">
        <v>561.88499999999999</v>
      </c>
      <c r="N36" s="313">
        <v>561.88499999999999</v>
      </c>
    </row>
    <row r="37" spans="1:26">
      <c r="A37" s="219" t="s">
        <v>197</v>
      </c>
      <c r="B37" s="313">
        <v>31.87997</v>
      </c>
      <c r="C37" s="313">
        <v>31.87997</v>
      </c>
      <c r="D37" s="313">
        <v>31.87997</v>
      </c>
      <c r="E37" s="313">
        <v>31.87997</v>
      </c>
      <c r="F37" s="313">
        <v>89.439970000000002</v>
      </c>
      <c r="G37" s="313">
        <v>146.99996999999999</v>
      </c>
      <c r="H37" s="313">
        <v>146.99996999999999</v>
      </c>
      <c r="I37" s="313">
        <v>175.77996999999999</v>
      </c>
      <c r="J37" s="313">
        <v>186.77996999999999</v>
      </c>
      <c r="K37" s="313">
        <v>215.55996999999999</v>
      </c>
      <c r="L37" s="313">
        <v>215.55996999999999</v>
      </c>
      <c r="M37" s="313">
        <v>215.55996999999999</v>
      </c>
      <c r="N37" s="313">
        <v>215.55996999999999</v>
      </c>
    </row>
    <row r="38" spans="1:26">
      <c r="A38" s="314" t="s">
        <v>15</v>
      </c>
      <c r="B38" s="315">
        <v>138913.740674</v>
      </c>
      <c r="C38" s="315">
        <v>140369.42597099999</v>
      </c>
      <c r="D38" s="315">
        <v>141175.35250199999</v>
      </c>
      <c r="E38" s="315">
        <v>141877.68865</v>
      </c>
      <c r="F38" s="315">
        <v>143026.54024599999</v>
      </c>
      <c r="G38" s="315">
        <v>144094.76902800001</v>
      </c>
      <c r="H38" s="315">
        <v>145026.14974200001</v>
      </c>
      <c r="I38" s="315">
        <v>146166.82927300001</v>
      </c>
      <c r="J38" s="315">
        <v>147115.56713099999</v>
      </c>
      <c r="K38" s="315">
        <v>148316.34559499999</v>
      </c>
      <c r="L38" s="315">
        <v>148614.604154</v>
      </c>
      <c r="M38" s="315">
        <v>149387.00368699999</v>
      </c>
      <c r="N38" s="315">
        <v>149573.07331800001</v>
      </c>
    </row>
    <row r="40" spans="1:26">
      <c r="A40" s="102" t="s">
        <v>255</v>
      </c>
    </row>
    <row r="41" spans="1:26" s="173" customFormat="1">
      <c r="A41" s="179" t="s">
        <v>28</v>
      </c>
      <c r="B41" s="179" t="str">
        <f>MID(UPPER(TEXT(B6,"mmm")),6,1)</f>
        <v>J</v>
      </c>
      <c r="C41" s="179" t="str">
        <f t="shared" ref="C41:N41" si="0">MID(UPPER(TEXT(C6,"mmm")),6,1)</f>
        <v>J</v>
      </c>
      <c r="D41" s="179" t="str">
        <f t="shared" si="0"/>
        <v>A</v>
      </c>
      <c r="E41" s="179" t="str">
        <f t="shared" si="0"/>
        <v>S</v>
      </c>
      <c r="F41" s="179" t="str">
        <f t="shared" si="0"/>
        <v>O</v>
      </c>
      <c r="G41" s="179" t="str">
        <f t="shared" si="0"/>
        <v>N</v>
      </c>
      <c r="H41" s="179" t="str">
        <f t="shared" si="0"/>
        <v>D</v>
      </c>
      <c r="I41" s="179" t="str">
        <f t="shared" si="0"/>
        <v>E</v>
      </c>
      <c r="J41" s="179" t="str">
        <f t="shared" si="0"/>
        <v>F</v>
      </c>
      <c r="K41" s="179" t="str">
        <f t="shared" si="0"/>
        <v>M</v>
      </c>
      <c r="L41" s="179" t="str">
        <f t="shared" si="0"/>
        <v>A</v>
      </c>
      <c r="M41" s="179" t="str">
        <f t="shared" si="0"/>
        <v>M</v>
      </c>
      <c r="N41" s="179" t="str">
        <f t="shared" si="0"/>
        <v>J</v>
      </c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 s="296" t="s">
        <v>245</v>
      </c>
      <c r="B42" s="44">
        <f>B17/B38*100</f>
        <v>6.9776176193736186</v>
      </c>
      <c r="C42" s="44">
        <f t="shared" ref="C42:M42" si="1">C17/C38*100</f>
        <v>6.961462280268087</v>
      </c>
      <c r="D42" s="44">
        <f t="shared" si="1"/>
        <v>7.0354324016009038</v>
      </c>
      <c r="E42" s="44">
        <f t="shared" si="1"/>
        <v>7.1463117474461342</v>
      </c>
      <c r="F42" s="44">
        <f t="shared" si="1"/>
        <v>7.1594985898334906</v>
      </c>
      <c r="G42" s="44">
        <f t="shared" si="1"/>
        <v>7.1546712129409027</v>
      </c>
      <c r="H42" s="44">
        <f t="shared" si="1"/>
        <v>7.2389259396849663</v>
      </c>
      <c r="I42" s="44">
        <f t="shared" si="1"/>
        <v>7.3003711287121007</v>
      </c>
      <c r="J42" s="44">
        <f t="shared" si="1"/>
        <v>7.316211460080063</v>
      </c>
      <c r="K42" s="44">
        <f t="shared" si="1"/>
        <v>7.2915076100449543</v>
      </c>
      <c r="L42" s="44">
        <f t="shared" si="1"/>
        <v>7.3249695391440452</v>
      </c>
      <c r="M42" s="44">
        <f t="shared" si="1"/>
        <v>7.3248110598206111</v>
      </c>
      <c r="N42" s="44">
        <f>N17/N38*100</f>
        <v>7.3907138188553017</v>
      </c>
    </row>
    <row r="44" spans="1:26">
      <c r="A44" s="102" t="s">
        <v>246</v>
      </c>
    </row>
    <row r="45" spans="1:26">
      <c r="A45" s="312" t="s">
        <v>100</v>
      </c>
      <c r="B45" s="312" t="s">
        <v>93</v>
      </c>
    </row>
    <row r="46" spans="1:26">
      <c r="A46" s="248" t="s">
        <v>28</v>
      </c>
      <c r="B46" s="359" t="s">
        <v>287</v>
      </c>
      <c r="C46" s="342"/>
    </row>
    <row r="47" spans="1:26">
      <c r="A47" s="248" t="s">
        <v>101</v>
      </c>
      <c r="B47" s="249" t="s">
        <v>263</v>
      </c>
      <c r="C47" s="249" t="s">
        <v>264</v>
      </c>
    </row>
    <row r="48" spans="1:26">
      <c r="A48" s="248" t="s">
        <v>265</v>
      </c>
      <c r="B48" s="250"/>
      <c r="C48" s="250"/>
    </row>
    <row r="49" spans="1:5">
      <c r="A49" s="219" t="s">
        <v>256</v>
      </c>
      <c r="B49" s="313">
        <v>127.124</v>
      </c>
      <c r="C49" s="321">
        <v>0</v>
      </c>
    </row>
    <row r="50" spans="1:5">
      <c r="A50" s="219" t="s">
        <v>257</v>
      </c>
      <c r="B50" s="313">
        <v>84113.017970000001</v>
      </c>
      <c r="C50" s="321">
        <v>5565.6826199999996</v>
      </c>
    </row>
    <row r="51" spans="1:5">
      <c r="A51" s="219" t="s">
        <v>258</v>
      </c>
      <c r="B51" s="313">
        <v>28948.418000000001</v>
      </c>
      <c r="C51" s="321">
        <v>557.74900000000002</v>
      </c>
    </row>
    <row r="52" spans="1:5">
      <c r="A52" s="219" t="s">
        <v>259</v>
      </c>
      <c r="B52" s="313">
        <v>27.912289999999999</v>
      </c>
      <c r="C52" s="321">
        <v>10.1211</v>
      </c>
    </row>
    <row r="53" spans="1:5">
      <c r="A53" s="219" t="s">
        <v>148</v>
      </c>
      <c r="B53" s="313">
        <v>81543.737059999999</v>
      </c>
      <c r="C53" s="321">
        <v>51092.761059999997</v>
      </c>
    </row>
    <row r="54" spans="1:5">
      <c r="A54" s="219" t="s">
        <v>149</v>
      </c>
      <c r="B54" s="313">
        <v>209494.52557</v>
      </c>
      <c r="C54" s="321">
        <v>147592.65057</v>
      </c>
    </row>
    <row r="55" spans="1:5">
      <c r="A55" s="219" t="s">
        <v>260</v>
      </c>
      <c r="B55" s="313">
        <v>2406.49901</v>
      </c>
      <c r="C55" s="321">
        <v>133.55691999999999</v>
      </c>
    </row>
    <row r="56" spans="1:5">
      <c r="A56" s="219" t="s">
        <v>151</v>
      </c>
      <c r="B56" s="313">
        <v>0</v>
      </c>
      <c r="C56" s="321">
        <v>0</v>
      </c>
    </row>
    <row r="57" spans="1:5">
      <c r="A57" s="219" t="s">
        <v>152</v>
      </c>
      <c r="B57" s="313">
        <v>27716.07302</v>
      </c>
      <c r="C57" s="321">
        <v>2.00000031327363E-5</v>
      </c>
    </row>
    <row r="58" spans="1:5">
      <c r="A58" s="219" t="s">
        <v>153</v>
      </c>
      <c r="B58" s="313">
        <v>7442.4979999999996</v>
      </c>
      <c r="C58" s="321">
        <v>2267.442</v>
      </c>
    </row>
    <row r="59" spans="1:5">
      <c r="A59" s="219" t="s">
        <v>261</v>
      </c>
      <c r="B59" s="313">
        <v>1331798.9794000001</v>
      </c>
      <c r="C59" s="321">
        <v>1248223.05532</v>
      </c>
    </row>
    <row r="60" spans="1:5">
      <c r="A60" s="219" t="s">
        <v>262</v>
      </c>
      <c r="B60" s="313">
        <v>57.99624</v>
      </c>
      <c r="C60" s="321">
        <v>48.914239999999999</v>
      </c>
    </row>
    <row r="61" spans="1:5">
      <c r="A61" s="219" t="s">
        <v>150</v>
      </c>
      <c r="B61" s="313">
        <v>7562.1954500000002</v>
      </c>
      <c r="C61" s="321">
        <v>6662.3824500000001</v>
      </c>
    </row>
    <row r="62" spans="1:5">
      <c r="A62" s="102"/>
    </row>
    <row r="63" spans="1:5">
      <c r="A63" s="102"/>
      <c r="B63" s="215" t="s">
        <v>247</v>
      </c>
      <c r="C63" t="s">
        <v>248</v>
      </c>
      <c r="D63" t="s">
        <v>249</v>
      </c>
      <c r="E63" t="s">
        <v>250</v>
      </c>
    </row>
    <row r="64" spans="1:5">
      <c r="A64" t="s">
        <v>6</v>
      </c>
      <c r="B64" s="44">
        <f>B59/1000</f>
        <v>1331.7989794</v>
      </c>
      <c r="C64" s="44">
        <f>B64-D64</f>
        <v>83.57592408000005</v>
      </c>
      <c r="D64" s="44">
        <f>C59/1000</f>
        <v>1248.22305532</v>
      </c>
      <c r="E64" s="44">
        <f>B64/B$72*100</f>
        <v>74.768124734349144</v>
      </c>
    </row>
    <row r="65" spans="1:7">
      <c r="A65" t="s">
        <v>9</v>
      </c>
      <c r="B65" s="44">
        <f>SUM(B53:B54,B56,B61)/1000</f>
        <v>298.60045808000001</v>
      </c>
      <c r="C65" s="44">
        <f t="shared" ref="C65:C72" si="2">B65-D65</f>
        <v>93.25266400000001</v>
      </c>
      <c r="D65" s="44">
        <f>SUM(C53:C54,C56,C61)/1000</f>
        <v>205.34779408</v>
      </c>
      <c r="E65" s="44">
        <f t="shared" ref="E65:E71" si="3">B65/B$72*100</f>
        <v>16.763638237294202</v>
      </c>
    </row>
    <row r="66" spans="1:7">
      <c r="A66" t="s">
        <v>8</v>
      </c>
      <c r="B66" s="44">
        <f>SUM(B50:B51)/1000</f>
        <v>113.06143597000001</v>
      </c>
      <c r="C66" s="44">
        <f t="shared" si="2"/>
        <v>106.93800435</v>
      </c>
      <c r="D66" s="44">
        <f>SUM(C50:C51)/1000</f>
        <v>6.123431619999999</v>
      </c>
      <c r="E66" s="44">
        <f t="shared" si="3"/>
        <v>6.3473479691792516</v>
      </c>
    </row>
    <row r="67" spans="1:7">
      <c r="A67" t="s">
        <v>67</v>
      </c>
      <c r="B67" s="44">
        <f>(B49+B57*0.5+B58)/1000</f>
        <v>21.427658510000001</v>
      </c>
      <c r="C67" s="44">
        <f t="shared" si="2"/>
        <v>19.160216499999997</v>
      </c>
      <c r="D67" s="44">
        <f>(C49+C57*0.5+C58)/1000</f>
        <v>2.2674420100000017</v>
      </c>
      <c r="E67" s="44">
        <f t="shared" si="3"/>
        <v>1.2029637122582089</v>
      </c>
    </row>
    <row r="68" spans="1:7">
      <c r="A68" t="s">
        <v>66</v>
      </c>
      <c r="B68" s="44">
        <f>(B57*0.5)/1000</f>
        <v>13.85803651</v>
      </c>
      <c r="C68" s="44">
        <f t="shared" si="2"/>
        <v>13.858036499999999</v>
      </c>
      <c r="D68" s="44">
        <f>(C57*0.5)/1000</f>
        <v>1.0000001566368151E-8</v>
      </c>
      <c r="E68" s="44">
        <f t="shared" si="3"/>
        <v>0.77799984710879144</v>
      </c>
    </row>
    <row r="69" spans="1:7">
      <c r="A69" t="s">
        <v>2</v>
      </c>
      <c r="B69" s="44">
        <f>B55/1000</f>
        <v>2.4064990100000001</v>
      </c>
      <c r="C69" s="44">
        <f t="shared" si="2"/>
        <v>2.2729420899999999</v>
      </c>
      <c r="D69" s="44">
        <f>C55/1000</f>
        <v>0.13355692</v>
      </c>
      <c r="E69" s="44">
        <f t="shared" si="3"/>
        <v>0.13510253494399677</v>
      </c>
    </row>
    <row r="70" spans="1:7">
      <c r="A70" t="s">
        <v>7</v>
      </c>
      <c r="B70" s="44">
        <f>B60/1000</f>
        <v>5.7996239999999998E-2</v>
      </c>
      <c r="C70" s="44">
        <f t="shared" si="2"/>
        <v>9.0819999999999998E-3</v>
      </c>
      <c r="D70" s="44">
        <f>C60/1000</f>
        <v>4.8914239999999998E-2</v>
      </c>
      <c r="E70" s="44">
        <f t="shared" si="3"/>
        <v>3.2559494139249292E-3</v>
      </c>
    </row>
    <row r="71" spans="1:7">
      <c r="A71" t="s">
        <v>5</v>
      </c>
      <c r="B71" s="44">
        <f>B52/1000</f>
        <v>2.7912289999999999E-2</v>
      </c>
      <c r="C71" s="44">
        <f t="shared" si="2"/>
        <v>1.7791189999999998E-2</v>
      </c>
      <c r="D71" s="44">
        <f>C52/1000</f>
        <v>1.0121100000000001E-2</v>
      </c>
      <c r="E71" s="44">
        <f t="shared" si="3"/>
        <v>1.5670154524983458E-3</v>
      </c>
    </row>
    <row r="72" spans="1:7">
      <c r="A72" t="s">
        <v>251</v>
      </c>
      <c r="B72" s="44">
        <f>SUM(B64:B71)</f>
        <v>1781.2389760099998</v>
      </c>
      <c r="C72" s="44">
        <f t="shared" si="2"/>
        <v>319.08466070999975</v>
      </c>
      <c r="D72" s="44">
        <f>SUM(D64:D71)</f>
        <v>1462.1543153</v>
      </c>
    </row>
    <row r="73" spans="1:7">
      <c r="A73" s="102"/>
    </row>
    <row r="74" spans="1:7">
      <c r="A74" t="s">
        <v>62</v>
      </c>
      <c r="B74" t="s">
        <v>312</v>
      </c>
      <c r="C74" t="s">
        <v>312</v>
      </c>
      <c r="F74">
        <v>1000</v>
      </c>
    </row>
    <row r="75" spans="1:7">
      <c r="A75" t="s">
        <v>62</v>
      </c>
      <c r="B75" t="s">
        <v>247</v>
      </c>
      <c r="C75" t="s">
        <v>248</v>
      </c>
      <c r="D75" t="s">
        <v>249</v>
      </c>
      <c r="E75" t="s">
        <v>250</v>
      </c>
    </row>
    <row r="76" spans="1:7">
      <c r="A76" t="s">
        <v>6</v>
      </c>
      <c r="B76" s="44">
        <v>1331.799</v>
      </c>
      <c r="C76">
        <v>83.575919999999996</v>
      </c>
      <c r="D76">
        <v>1248.2230199999999</v>
      </c>
      <c r="E76" s="44">
        <v>74.772999999999996</v>
      </c>
      <c r="F76" s="44">
        <f>(100-E76)*B$84/100</f>
        <v>449.32112424000007</v>
      </c>
      <c r="G76" t="str">
        <f>CONCATENATE(A76," ",TEXT(B76,"0.000,0")," GWh")</f>
        <v>Solar fotovoltaica 1.331,8 GWh</v>
      </c>
    </row>
    <row r="77" spans="1:7">
      <c r="A77" t="s">
        <v>9</v>
      </c>
      <c r="B77" s="44">
        <v>298.60000000000002</v>
      </c>
      <c r="C77">
        <v>93.252690000000001</v>
      </c>
      <c r="D77">
        <v>205.34781000000001</v>
      </c>
      <c r="E77" s="44">
        <v>16.765000000000001</v>
      </c>
      <c r="F77" s="44">
        <f>(100-E77)*B$84/100</f>
        <v>1482.5085732</v>
      </c>
      <c r="G77" t="str">
        <f t="shared" ref="G77:G83" si="4">CONCATENATE(A77," ",TEXT(B77,"0,0")," GWh")</f>
        <v>Cogeneración 298,6 GWh</v>
      </c>
    </row>
    <row r="78" spans="1:7">
      <c r="A78" t="s">
        <v>8</v>
      </c>
      <c r="B78" s="44">
        <v>113.06100000000001</v>
      </c>
      <c r="C78">
        <v>106.93800999999999</v>
      </c>
      <c r="D78">
        <v>6.1234299999999999</v>
      </c>
      <c r="E78" s="44">
        <v>6.3479999999999999</v>
      </c>
      <c r="F78" s="44">
        <f t="shared" ref="F78:F83" si="5">(100-E78)*B$84/100</f>
        <v>1668.0470102400002</v>
      </c>
      <c r="G78" t="str">
        <f t="shared" si="4"/>
        <v>Otras renovables 113,1 GWh</v>
      </c>
    </row>
    <row r="79" spans="1:7">
      <c r="A79" t="s">
        <v>67</v>
      </c>
      <c r="B79" s="44">
        <v>21.300999999999998</v>
      </c>
      <c r="C79">
        <v>19.033094999999999</v>
      </c>
      <c r="D79">
        <v>2.2674400000000001</v>
      </c>
      <c r="E79" s="44">
        <v>1.196</v>
      </c>
      <c r="F79" s="44">
        <f t="shared" si="5"/>
        <v>1759.8099004800001</v>
      </c>
      <c r="G79" t="str">
        <f t="shared" si="4"/>
        <v>Residuos no renovables 21,3 GWh</v>
      </c>
    </row>
    <row r="80" spans="1:7">
      <c r="A80" t="s">
        <v>66</v>
      </c>
      <c r="B80" s="44">
        <v>13.858000000000001</v>
      </c>
      <c r="C80">
        <v>13.858034999999999</v>
      </c>
      <c r="D80">
        <v>0</v>
      </c>
      <c r="E80" s="44">
        <v>0.77800000000000002</v>
      </c>
      <c r="F80" s="44">
        <f t="shared" si="5"/>
        <v>1767.2549486400001</v>
      </c>
      <c r="G80" t="str">
        <f t="shared" si="4"/>
        <v>Residuos renovables 13,9 GWh</v>
      </c>
    </row>
    <row r="81" spans="1:7">
      <c r="A81" t="s">
        <v>2</v>
      </c>
      <c r="B81" s="44">
        <v>2.407</v>
      </c>
      <c r="C81">
        <v>2.2729499999999998</v>
      </c>
      <c r="D81">
        <v>0.13355</v>
      </c>
      <c r="E81" s="44">
        <v>0.13500000000000001</v>
      </c>
      <c r="F81" s="44">
        <f t="shared" si="5"/>
        <v>1778.7074987999999</v>
      </c>
      <c r="G81" t="str">
        <f t="shared" si="4"/>
        <v>Hidráulica 2,4 GWh</v>
      </c>
    </row>
    <row r="82" spans="1:7">
      <c r="A82" t="s">
        <v>7</v>
      </c>
      <c r="B82" s="44">
        <v>5.8000000000000003E-2</v>
      </c>
      <c r="C82">
        <v>9.0899999999999991E-3</v>
      </c>
      <c r="D82">
        <v>4.8909999999999995E-2</v>
      </c>
      <c r="E82" s="44">
        <v>3.0000000000000001E-3</v>
      </c>
      <c r="F82" s="44">
        <f t="shared" si="5"/>
        <v>1781.0585666400002</v>
      </c>
      <c r="G82" t="str">
        <f t="shared" si="4"/>
        <v>Solar térmica 0,1 GWh</v>
      </c>
    </row>
    <row r="83" spans="1:7">
      <c r="A83" t="s">
        <v>5</v>
      </c>
      <c r="B83" s="44">
        <v>2.8000000000000001E-2</v>
      </c>
      <c r="C83">
        <v>1.779E-2</v>
      </c>
      <c r="D83">
        <v>1.0119999999999999E-2</v>
      </c>
      <c r="E83" s="44">
        <v>2E-3</v>
      </c>
      <c r="F83" s="44">
        <f t="shared" si="5"/>
        <v>1781.0763777600002</v>
      </c>
      <c r="G83" t="str">
        <f t="shared" si="4"/>
        <v>Eólica 0,0 GWh</v>
      </c>
    </row>
    <row r="84" spans="1:7">
      <c r="A84" t="s">
        <v>251</v>
      </c>
      <c r="B84" s="44">
        <v>1781.1120000000001</v>
      </c>
      <c r="C84">
        <v>318.95758000000001</v>
      </c>
      <c r="D84">
        <v>1462.15428</v>
      </c>
      <c r="E84" s="44">
        <v>100</v>
      </c>
      <c r="F84" s="44"/>
      <c r="G84" t="str">
        <f>CONCATENATE(A84," ",TEXT(B84,"0.0,0")," GWh")</f>
        <v>Generación total autoconsumo 1.781,1 GWh</v>
      </c>
    </row>
    <row r="86" spans="1:7">
      <c r="A86" s="102" t="s">
        <v>266</v>
      </c>
    </row>
    <row r="87" spans="1:7">
      <c r="A87" t="s">
        <v>62</v>
      </c>
      <c r="B87" t="s">
        <v>312</v>
      </c>
      <c r="C87" t="s">
        <v>312</v>
      </c>
    </row>
    <row r="88" spans="1:7">
      <c r="A88" t="s">
        <v>62</v>
      </c>
      <c r="B88" t="s">
        <v>0</v>
      </c>
      <c r="C88" t="s">
        <v>14</v>
      </c>
    </row>
    <row r="89" spans="1:7">
      <c r="A89" t="s">
        <v>6</v>
      </c>
      <c r="B89" s="2">
        <v>8300.6119999999992</v>
      </c>
      <c r="C89" s="322">
        <v>33.887</v>
      </c>
    </row>
    <row r="90" spans="1:7">
      <c r="A90" t="s">
        <v>3</v>
      </c>
      <c r="B90" s="2">
        <v>4457.5640000000003</v>
      </c>
      <c r="C90" s="322">
        <v>18.198</v>
      </c>
    </row>
    <row r="91" spans="1:7">
      <c r="A91" t="s">
        <v>5</v>
      </c>
      <c r="B91" s="2">
        <v>3745.7530000000002</v>
      </c>
      <c r="C91" s="322">
        <v>15.292</v>
      </c>
    </row>
    <row r="92" spans="1:7">
      <c r="A92" t="s">
        <v>11</v>
      </c>
      <c r="B92" s="2">
        <v>3233.6210000000001</v>
      </c>
      <c r="C92" s="322">
        <v>13.201000000000001</v>
      </c>
    </row>
    <row r="93" spans="1:7">
      <c r="A93" t="s">
        <v>2</v>
      </c>
      <c r="B93" s="2">
        <v>2108.252</v>
      </c>
      <c r="C93" s="322">
        <v>8.6069999999999993</v>
      </c>
    </row>
    <row r="94" spans="1:7">
      <c r="A94" t="s">
        <v>9</v>
      </c>
      <c r="B94" s="2">
        <v>1337.2159999999999</v>
      </c>
      <c r="C94" s="322">
        <v>5.4589999999999996</v>
      </c>
    </row>
    <row r="95" spans="1:7">
      <c r="A95" t="s">
        <v>7</v>
      </c>
      <c r="B95" s="2">
        <v>622.28599999999994</v>
      </c>
      <c r="C95" s="322">
        <v>2.54</v>
      </c>
    </row>
    <row r="96" spans="1:7">
      <c r="A96" t="s">
        <v>8</v>
      </c>
      <c r="B96" s="2">
        <v>341.59300000000002</v>
      </c>
      <c r="C96" s="322">
        <v>1.395</v>
      </c>
    </row>
    <row r="97" spans="1:3">
      <c r="A97" t="s">
        <v>135</v>
      </c>
      <c r="B97" s="2">
        <v>209.14099999999999</v>
      </c>
      <c r="C97" s="322">
        <v>0.85399999999999998</v>
      </c>
    </row>
    <row r="98" spans="1:3">
      <c r="A98" t="s">
        <v>67</v>
      </c>
      <c r="B98" s="2">
        <v>74.611000000000004</v>
      </c>
      <c r="C98" s="322">
        <v>0.30499999999999999</v>
      </c>
    </row>
    <row r="99" spans="1:3">
      <c r="A99" t="s">
        <v>66</v>
      </c>
      <c r="B99" s="2">
        <v>50.902000000000001</v>
      </c>
      <c r="C99" s="322">
        <v>0.20799999999999999</v>
      </c>
    </row>
    <row r="100" spans="1:3">
      <c r="A100" t="s">
        <v>4</v>
      </c>
      <c r="B100" s="2">
        <v>13.074999999999999</v>
      </c>
      <c r="C100" s="322">
        <v>5.2999999999999999E-2</v>
      </c>
    </row>
    <row r="101" spans="1:3">
      <c r="A101" t="s">
        <v>267</v>
      </c>
      <c r="B101" s="2">
        <v>24494.627</v>
      </c>
      <c r="C101" s="322">
        <v>100</v>
      </c>
    </row>
    <row r="102" spans="1:3">
      <c r="B102" s="2"/>
    </row>
    <row r="103" spans="1:3">
      <c r="A103" t="s">
        <v>268</v>
      </c>
      <c r="B103" s="2">
        <f>SUM(B89,B91,B93,B95:B96,B99)</f>
        <v>15169.398000000001</v>
      </c>
      <c r="C103" s="297">
        <f>SUM(C89,C91,C93,C95:C96,C99)</f>
        <v>61.929000000000002</v>
      </c>
    </row>
  </sheetData>
  <mergeCells count="3">
    <mergeCell ref="B5:N5"/>
    <mergeCell ref="B20:N20"/>
    <mergeCell ref="B46:C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workbookViewId="0">
      <selection activeCell="K21" sqref="K21:K2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Junio 2026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32" t="s">
        <v>198</v>
      </c>
      <c r="D7" s="32"/>
      <c r="E7" s="39"/>
    </row>
    <row r="8" spans="2:6" s="29" customFormat="1" ht="12.75" customHeight="1">
      <c r="B8" s="28"/>
      <c r="C8" s="332"/>
      <c r="D8" s="32"/>
      <c r="E8" s="39"/>
    </row>
    <row r="9" spans="2:6" s="29" customFormat="1" ht="12.75" customHeight="1">
      <c r="B9" s="28"/>
      <c r="C9" s="332"/>
      <c r="D9" s="32"/>
      <c r="E9" s="39"/>
    </row>
    <row r="10" spans="2:6" s="29" customFormat="1" ht="12.75" customHeight="1">
      <c r="B10" s="28"/>
      <c r="C10" s="126" t="str">
        <f>CONCATENATE(TEXT(Dat_01!B47,"0.0")," MW")</f>
        <v>137.619 MW</v>
      </c>
      <c r="D10" s="32"/>
      <c r="E10" s="39"/>
      <c r="F10" s="33"/>
    </row>
    <row r="11" spans="2:6" s="29" customFormat="1" ht="12.75" customHeight="1">
      <c r="B11" s="28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31" t="s">
        <v>57</v>
      </c>
      <c r="E23" s="41"/>
    </row>
    <row r="24" spans="2:6" ht="12.75" customHeight="1">
      <c r="C24" s="331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2">
    <mergeCell ref="C23:C24"/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6" width="1.42578125" style="26" customWidth="1"/>
    <col min="7" max="7" width="58.5703125" style="36" customWidth="1"/>
    <col min="8" max="8" width="11.42578125" style="36"/>
    <col min="9" max="9" width="15.5703125" style="36" customWidth="1"/>
    <col min="10" max="255" width="11.42578125" style="36"/>
    <col min="256" max="256" width="0.42578125" style="36" customWidth="1"/>
    <col min="257" max="257" width="2.5703125" style="36" customWidth="1"/>
    <col min="258" max="258" width="18.5703125" style="36" customWidth="1"/>
    <col min="259" max="259" width="1.42578125" style="36" customWidth="1"/>
    <col min="260" max="260" width="58.5703125" style="36" customWidth="1"/>
    <col min="261" max="262" width="11.42578125" style="36"/>
    <col min="263" max="263" width="2.42578125" style="36" customWidth="1"/>
    <col min="264" max="264" width="11.42578125" style="36"/>
    <col min="265" max="265" width="9.5703125" style="36" customWidth="1"/>
    <col min="266" max="511" width="11.42578125" style="36"/>
    <col min="512" max="512" width="0.42578125" style="36" customWidth="1"/>
    <col min="513" max="513" width="2.5703125" style="36" customWidth="1"/>
    <col min="514" max="514" width="18.5703125" style="36" customWidth="1"/>
    <col min="515" max="515" width="1.42578125" style="36" customWidth="1"/>
    <col min="516" max="516" width="58.5703125" style="36" customWidth="1"/>
    <col min="517" max="518" width="11.42578125" style="36"/>
    <col min="519" max="519" width="2.42578125" style="36" customWidth="1"/>
    <col min="520" max="520" width="11.42578125" style="36"/>
    <col min="521" max="521" width="9.5703125" style="36" customWidth="1"/>
    <col min="522" max="767" width="11.42578125" style="36"/>
    <col min="768" max="768" width="0.42578125" style="36" customWidth="1"/>
    <col min="769" max="769" width="2.5703125" style="36" customWidth="1"/>
    <col min="770" max="770" width="18.5703125" style="36" customWidth="1"/>
    <col min="771" max="771" width="1.42578125" style="36" customWidth="1"/>
    <col min="772" max="772" width="58.5703125" style="36" customWidth="1"/>
    <col min="773" max="774" width="11.42578125" style="36"/>
    <col min="775" max="775" width="2.42578125" style="36" customWidth="1"/>
    <col min="776" max="776" width="11.42578125" style="36"/>
    <col min="777" max="777" width="9.5703125" style="36" customWidth="1"/>
    <col min="778" max="1023" width="11.42578125" style="36"/>
    <col min="1024" max="1024" width="0.42578125" style="36" customWidth="1"/>
    <col min="1025" max="1025" width="2.5703125" style="36" customWidth="1"/>
    <col min="1026" max="1026" width="18.5703125" style="36" customWidth="1"/>
    <col min="1027" max="1027" width="1.42578125" style="36" customWidth="1"/>
    <col min="1028" max="1028" width="58.5703125" style="36" customWidth="1"/>
    <col min="1029" max="1030" width="11.42578125" style="36"/>
    <col min="1031" max="1031" width="2.42578125" style="36" customWidth="1"/>
    <col min="1032" max="1032" width="11.42578125" style="36"/>
    <col min="1033" max="1033" width="9.5703125" style="36" customWidth="1"/>
    <col min="1034" max="1279" width="11.42578125" style="36"/>
    <col min="1280" max="1280" width="0.42578125" style="36" customWidth="1"/>
    <col min="1281" max="1281" width="2.5703125" style="36" customWidth="1"/>
    <col min="1282" max="1282" width="18.5703125" style="36" customWidth="1"/>
    <col min="1283" max="1283" width="1.42578125" style="36" customWidth="1"/>
    <col min="1284" max="1284" width="58.5703125" style="36" customWidth="1"/>
    <col min="1285" max="1286" width="11.42578125" style="36"/>
    <col min="1287" max="1287" width="2.42578125" style="36" customWidth="1"/>
    <col min="1288" max="1288" width="11.42578125" style="36"/>
    <col min="1289" max="1289" width="9.5703125" style="36" customWidth="1"/>
    <col min="1290" max="1535" width="11.42578125" style="36"/>
    <col min="1536" max="1536" width="0.42578125" style="36" customWidth="1"/>
    <col min="1537" max="1537" width="2.5703125" style="36" customWidth="1"/>
    <col min="1538" max="1538" width="18.5703125" style="36" customWidth="1"/>
    <col min="1539" max="1539" width="1.42578125" style="36" customWidth="1"/>
    <col min="1540" max="1540" width="58.5703125" style="36" customWidth="1"/>
    <col min="1541" max="1542" width="11.42578125" style="36"/>
    <col min="1543" max="1543" width="2.42578125" style="36" customWidth="1"/>
    <col min="1544" max="1544" width="11.42578125" style="36"/>
    <col min="1545" max="1545" width="9.5703125" style="36" customWidth="1"/>
    <col min="1546" max="1791" width="11.42578125" style="36"/>
    <col min="1792" max="1792" width="0.42578125" style="36" customWidth="1"/>
    <col min="1793" max="1793" width="2.5703125" style="36" customWidth="1"/>
    <col min="1794" max="1794" width="18.5703125" style="36" customWidth="1"/>
    <col min="1795" max="1795" width="1.42578125" style="36" customWidth="1"/>
    <col min="1796" max="1796" width="58.5703125" style="36" customWidth="1"/>
    <col min="1797" max="1798" width="11.42578125" style="36"/>
    <col min="1799" max="1799" width="2.42578125" style="36" customWidth="1"/>
    <col min="1800" max="1800" width="11.42578125" style="36"/>
    <col min="1801" max="1801" width="9.5703125" style="36" customWidth="1"/>
    <col min="1802" max="2047" width="11.42578125" style="36"/>
    <col min="2048" max="2048" width="0.42578125" style="36" customWidth="1"/>
    <col min="2049" max="2049" width="2.5703125" style="36" customWidth="1"/>
    <col min="2050" max="2050" width="18.5703125" style="36" customWidth="1"/>
    <col min="2051" max="2051" width="1.42578125" style="36" customWidth="1"/>
    <col min="2052" max="2052" width="58.5703125" style="36" customWidth="1"/>
    <col min="2053" max="2054" width="11.42578125" style="36"/>
    <col min="2055" max="2055" width="2.42578125" style="36" customWidth="1"/>
    <col min="2056" max="2056" width="11.42578125" style="36"/>
    <col min="2057" max="2057" width="9.5703125" style="36" customWidth="1"/>
    <col min="2058" max="2303" width="11.42578125" style="36"/>
    <col min="2304" max="2304" width="0.42578125" style="36" customWidth="1"/>
    <col min="2305" max="2305" width="2.5703125" style="36" customWidth="1"/>
    <col min="2306" max="2306" width="18.5703125" style="36" customWidth="1"/>
    <col min="2307" max="2307" width="1.42578125" style="36" customWidth="1"/>
    <col min="2308" max="2308" width="58.5703125" style="36" customWidth="1"/>
    <col min="2309" max="2310" width="11.42578125" style="36"/>
    <col min="2311" max="2311" width="2.42578125" style="36" customWidth="1"/>
    <col min="2312" max="2312" width="11.42578125" style="36"/>
    <col min="2313" max="2313" width="9.5703125" style="36" customWidth="1"/>
    <col min="2314" max="2559" width="11.42578125" style="36"/>
    <col min="2560" max="2560" width="0.42578125" style="36" customWidth="1"/>
    <col min="2561" max="2561" width="2.5703125" style="36" customWidth="1"/>
    <col min="2562" max="2562" width="18.5703125" style="36" customWidth="1"/>
    <col min="2563" max="2563" width="1.42578125" style="36" customWidth="1"/>
    <col min="2564" max="2564" width="58.5703125" style="36" customWidth="1"/>
    <col min="2565" max="2566" width="11.42578125" style="36"/>
    <col min="2567" max="2567" width="2.42578125" style="36" customWidth="1"/>
    <col min="2568" max="2568" width="11.42578125" style="36"/>
    <col min="2569" max="2569" width="9.5703125" style="36" customWidth="1"/>
    <col min="2570" max="2815" width="11.42578125" style="36"/>
    <col min="2816" max="2816" width="0.42578125" style="36" customWidth="1"/>
    <col min="2817" max="2817" width="2.5703125" style="36" customWidth="1"/>
    <col min="2818" max="2818" width="18.5703125" style="36" customWidth="1"/>
    <col min="2819" max="2819" width="1.42578125" style="36" customWidth="1"/>
    <col min="2820" max="2820" width="58.5703125" style="36" customWidth="1"/>
    <col min="2821" max="2822" width="11.42578125" style="36"/>
    <col min="2823" max="2823" width="2.42578125" style="36" customWidth="1"/>
    <col min="2824" max="2824" width="11.42578125" style="36"/>
    <col min="2825" max="2825" width="9.5703125" style="36" customWidth="1"/>
    <col min="2826" max="3071" width="11.42578125" style="36"/>
    <col min="3072" max="3072" width="0.42578125" style="36" customWidth="1"/>
    <col min="3073" max="3073" width="2.5703125" style="36" customWidth="1"/>
    <col min="3074" max="3074" width="18.5703125" style="36" customWidth="1"/>
    <col min="3075" max="3075" width="1.42578125" style="36" customWidth="1"/>
    <col min="3076" max="3076" width="58.5703125" style="36" customWidth="1"/>
    <col min="3077" max="3078" width="11.42578125" style="36"/>
    <col min="3079" max="3079" width="2.42578125" style="36" customWidth="1"/>
    <col min="3080" max="3080" width="11.42578125" style="36"/>
    <col min="3081" max="3081" width="9.5703125" style="36" customWidth="1"/>
    <col min="3082" max="3327" width="11.42578125" style="36"/>
    <col min="3328" max="3328" width="0.42578125" style="36" customWidth="1"/>
    <col min="3329" max="3329" width="2.5703125" style="36" customWidth="1"/>
    <col min="3330" max="3330" width="18.5703125" style="36" customWidth="1"/>
    <col min="3331" max="3331" width="1.42578125" style="36" customWidth="1"/>
    <col min="3332" max="3332" width="58.5703125" style="36" customWidth="1"/>
    <col min="3333" max="3334" width="11.42578125" style="36"/>
    <col min="3335" max="3335" width="2.42578125" style="36" customWidth="1"/>
    <col min="3336" max="3336" width="11.42578125" style="36"/>
    <col min="3337" max="3337" width="9.5703125" style="36" customWidth="1"/>
    <col min="3338" max="3583" width="11.42578125" style="36"/>
    <col min="3584" max="3584" width="0.42578125" style="36" customWidth="1"/>
    <col min="3585" max="3585" width="2.5703125" style="36" customWidth="1"/>
    <col min="3586" max="3586" width="18.5703125" style="36" customWidth="1"/>
    <col min="3587" max="3587" width="1.42578125" style="36" customWidth="1"/>
    <col min="3588" max="3588" width="58.5703125" style="36" customWidth="1"/>
    <col min="3589" max="3590" width="11.42578125" style="36"/>
    <col min="3591" max="3591" width="2.42578125" style="36" customWidth="1"/>
    <col min="3592" max="3592" width="11.42578125" style="36"/>
    <col min="3593" max="3593" width="9.5703125" style="36" customWidth="1"/>
    <col min="3594" max="3839" width="11.42578125" style="36"/>
    <col min="3840" max="3840" width="0.42578125" style="36" customWidth="1"/>
    <col min="3841" max="3841" width="2.5703125" style="36" customWidth="1"/>
    <col min="3842" max="3842" width="18.5703125" style="36" customWidth="1"/>
    <col min="3843" max="3843" width="1.42578125" style="36" customWidth="1"/>
    <col min="3844" max="3844" width="58.5703125" style="36" customWidth="1"/>
    <col min="3845" max="3846" width="11.42578125" style="36"/>
    <col min="3847" max="3847" width="2.42578125" style="36" customWidth="1"/>
    <col min="3848" max="3848" width="11.42578125" style="36"/>
    <col min="3849" max="3849" width="9.5703125" style="36" customWidth="1"/>
    <col min="3850" max="4095" width="11.42578125" style="36"/>
    <col min="4096" max="4096" width="0.42578125" style="36" customWidth="1"/>
    <col min="4097" max="4097" width="2.5703125" style="36" customWidth="1"/>
    <col min="4098" max="4098" width="18.5703125" style="36" customWidth="1"/>
    <col min="4099" max="4099" width="1.42578125" style="36" customWidth="1"/>
    <col min="4100" max="4100" width="58.5703125" style="36" customWidth="1"/>
    <col min="4101" max="4102" width="11.42578125" style="36"/>
    <col min="4103" max="4103" width="2.42578125" style="36" customWidth="1"/>
    <col min="4104" max="4104" width="11.42578125" style="36"/>
    <col min="4105" max="4105" width="9.5703125" style="36" customWidth="1"/>
    <col min="4106" max="4351" width="11.42578125" style="36"/>
    <col min="4352" max="4352" width="0.42578125" style="36" customWidth="1"/>
    <col min="4353" max="4353" width="2.5703125" style="36" customWidth="1"/>
    <col min="4354" max="4354" width="18.5703125" style="36" customWidth="1"/>
    <col min="4355" max="4355" width="1.42578125" style="36" customWidth="1"/>
    <col min="4356" max="4356" width="58.5703125" style="36" customWidth="1"/>
    <col min="4357" max="4358" width="11.42578125" style="36"/>
    <col min="4359" max="4359" width="2.42578125" style="36" customWidth="1"/>
    <col min="4360" max="4360" width="11.42578125" style="36"/>
    <col min="4361" max="4361" width="9.5703125" style="36" customWidth="1"/>
    <col min="4362" max="4607" width="11.42578125" style="36"/>
    <col min="4608" max="4608" width="0.42578125" style="36" customWidth="1"/>
    <col min="4609" max="4609" width="2.5703125" style="36" customWidth="1"/>
    <col min="4610" max="4610" width="18.5703125" style="36" customWidth="1"/>
    <col min="4611" max="4611" width="1.42578125" style="36" customWidth="1"/>
    <col min="4612" max="4612" width="58.5703125" style="36" customWidth="1"/>
    <col min="4613" max="4614" width="11.42578125" style="36"/>
    <col min="4615" max="4615" width="2.42578125" style="36" customWidth="1"/>
    <col min="4616" max="4616" width="11.42578125" style="36"/>
    <col min="4617" max="4617" width="9.5703125" style="36" customWidth="1"/>
    <col min="4618" max="4863" width="11.42578125" style="36"/>
    <col min="4864" max="4864" width="0.42578125" style="36" customWidth="1"/>
    <col min="4865" max="4865" width="2.5703125" style="36" customWidth="1"/>
    <col min="4866" max="4866" width="18.5703125" style="36" customWidth="1"/>
    <col min="4867" max="4867" width="1.42578125" style="36" customWidth="1"/>
    <col min="4868" max="4868" width="58.5703125" style="36" customWidth="1"/>
    <col min="4869" max="4870" width="11.42578125" style="36"/>
    <col min="4871" max="4871" width="2.42578125" style="36" customWidth="1"/>
    <col min="4872" max="4872" width="11.42578125" style="36"/>
    <col min="4873" max="4873" width="9.5703125" style="36" customWidth="1"/>
    <col min="4874" max="5119" width="11.42578125" style="36"/>
    <col min="5120" max="5120" width="0.42578125" style="36" customWidth="1"/>
    <col min="5121" max="5121" width="2.5703125" style="36" customWidth="1"/>
    <col min="5122" max="5122" width="18.5703125" style="36" customWidth="1"/>
    <col min="5123" max="5123" width="1.42578125" style="36" customWidth="1"/>
    <col min="5124" max="5124" width="58.5703125" style="36" customWidth="1"/>
    <col min="5125" max="5126" width="11.42578125" style="36"/>
    <col min="5127" max="5127" width="2.42578125" style="36" customWidth="1"/>
    <col min="5128" max="5128" width="11.42578125" style="36"/>
    <col min="5129" max="5129" width="9.5703125" style="36" customWidth="1"/>
    <col min="5130" max="5375" width="11.42578125" style="36"/>
    <col min="5376" max="5376" width="0.42578125" style="36" customWidth="1"/>
    <col min="5377" max="5377" width="2.5703125" style="36" customWidth="1"/>
    <col min="5378" max="5378" width="18.5703125" style="36" customWidth="1"/>
    <col min="5379" max="5379" width="1.42578125" style="36" customWidth="1"/>
    <col min="5380" max="5380" width="58.5703125" style="36" customWidth="1"/>
    <col min="5381" max="5382" width="11.42578125" style="36"/>
    <col min="5383" max="5383" width="2.42578125" style="36" customWidth="1"/>
    <col min="5384" max="5384" width="11.42578125" style="36"/>
    <col min="5385" max="5385" width="9.5703125" style="36" customWidth="1"/>
    <col min="5386" max="5631" width="11.42578125" style="36"/>
    <col min="5632" max="5632" width="0.42578125" style="36" customWidth="1"/>
    <col min="5633" max="5633" width="2.5703125" style="36" customWidth="1"/>
    <col min="5634" max="5634" width="18.5703125" style="36" customWidth="1"/>
    <col min="5635" max="5635" width="1.42578125" style="36" customWidth="1"/>
    <col min="5636" max="5636" width="58.5703125" style="36" customWidth="1"/>
    <col min="5637" max="5638" width="11.42578125" style="36"/>
    <col min="5639" max="5639" width="2.42578125" style="36" customWidth="1"/>
    <col min="5640" max="5640" width="11.42578125" style="36"/>
    <col min="5641" max="5641" width="9.5703125" style="36" customWidth="1"/>
    <col min="5642" max="5887" width="11.42578125" style="36"/>
    <col min="5888" max="5888" width="0.42578125" style="36" customWidth="1"/>
    <col min="5889" max="5889" width="2.5703125" style="36" customWidth="1"/>
    <col min="5890" max="5890" width="18.5703125" style="36" customWidth="1"/>
    <col min="5891" max="5891" width="1.42578125" style="36" customWidth="1"/>
    <col min="5892" max="5892" width="58.5703125" style="36" customWidth="1"/>
    <col min="5893" max="5894" width="11.42578125" style="36"/>
    <col min="5895" max="5895" width="2.42578125" style="36" customWidth="1"/>
    <col min="5896" max="5896" width="11.42578125" style="36"/>
    <col min="5897" max="5897" width="9.5703125" style="36" customWidth="1"/>
    <col min="5898" max="6143" width="11.42578125" style="36"/>
    <col min="6144" max="6144" width="0.42578125" style="36" customWidth="1"/>
    <col min="6145" max="6145" width="2.5703125" style="36" customWidth="1"/>
    <col min="6146" max="6146" width="18.5703125" style="36" customWidth="1"/>
    <col min="6147" max="6147" width="1.42578125" style="36" customWidth="1"/>
    <col min="6148" max="6148" width="58.5703125" style="36" customWidth="1"/>
    <col min="6149" max="6150" width="11.42578125" style="36"/>
    <col min="6151" max="6151" width="2.42578125" style="36" customWidth="1"/>
    <col min="6152" max="6152" width="11.42578125" style="36"/>
    <col min="6153" max="6153" width="9.5703125" style="36" customWidth="1"/>
    <col min="6154" max="6399" width="11.42578125" style="36"/>
    <col min="6400" max="6400" width="0.42578125" style="36" customWidth="1"/>
    <col min="6401" max="6401" width="2.5703125" style="36" customWidth="1"/>
    <col min="6402" max="6402" width="18.5703125" style="36" customWidth="1"/>
    <col min="6403" max="6403" width="1.42578125" style="36" customWidth="1"/>
    <col min="6404" max="6404" width="58.5703125" style="36" customWidth="1"/>
    <col min="6405" max="6406" width="11.42578125" style="36"/>
    <col min="6407" max="6407" width="2.42578125" style="36" customWidth="1"/>
    <col min="6408" max="6408" width="11.42578125" style="36"/>
    <col min="6409" max="6409" width="9.5703125" style="36" customWidth="1"/>
    <col min="6410" max="6655" width="11.42578125" style="36"/>
    <col min="6656" max="6656" width="0.42578125" style="36" customWidth="1"/>
    <col min="6657" max="6657" width="2.5703125" style="36" customWidth="1"/>
    <col min="6658" max="6658" width="18.5703125" style="36" customWidth="1"/>
    <col min="6659" max="6659" width="1.42578125" style="36" customWidth="1"/>
    <col min="6660" max="6660" width="58.5703125" style="36" customWidth="1"/>
    <col min="6661" max="6662" width="11.42578125" style="36"/>
    <col min="6663" max="6663" width="2.42578125" style="36" customWidth="1"/>
    <col min="6664" max="6664" width="11.42578125" style="36"/>
    <col min="6665" max="6665" width="9.5703125" style="36" customWidth="1"/>
    <col min="6666" max="6911" width="11.42578125" style="36"/>
    <col min="6912" max="6912" width="0.42578125" style="36" customWidth="1"/>
    <col min="6913" max="6913" width="2.5703125" style="36" customWidth="1"/>
    <col min="6914" max="6914" width="18.5703125" style="36" customWidth="1"/>
    <col min="6915" max="6915" width="1.42578125" style="36" customWidth="1"/>
    <col min="6916" max="6916" width="58.5703125" style="36" customWidth="1"/>
    <col min="6917" max="6918" width="11.42578125" style="36"/>
    <col min="6919" max="6919" width="2.42578125" style="36" customWidth="1"/>
    <col min="6920" max="6920" width="11.42578125" style="36"/>
    <col min="6921" max="6921" width="9.5703125" style="36" customWidth="1"/>
    <col min="6922" max="7167" width="11.42578125" style="36"/>
    <col min="7168" max="7168" width="0.42578125" style="36" customWidth="1"/>
    <col min="7169" max="7169" width="2.5703125" style="36" customWidth="1"/>
    <col min="7170" max="7170" width="18.5703125" style="36" customWidth="1"/>
    <col min="7171" max="7171" width="1.42578125" style="36" customWidth="1"/>
    <col min="7172" max="7172" width="58.5703125" style="36" customWidth="1"/>
    <col min="7173" max="7174" width="11.42578125" style="36"/>
    <col min="7175" max="7175" width="2.42578125" style="36" customWidth="1"/>
    <col min="7176" max="7176" width="11.42578125" style="36"/>
    <col min="7177" max="7177" width="9.5703125" style="36" customWidth="1"/>
    <col min="7178" max="7423" width="11.42578125" style="36"/>
    <col min="7424" max="7424" width="0.42578125" style="36" customWidth="1"/>
    <col min="7425" max="7425" width="2.5703125" style="36" customWidth="1"/>
    <col min="7426" max="7426" width="18.5703125" style="36" customWidth="1"/>
    <col min="7427" max="7427" width="1.42578125" style="36" customWidth="1"/>
    <col min="7428" max="7428" width="58.5703125" style="36" customWidth="1"/>
    <col min="7429" max="7430" width="11.42578125" style="36"/>
    <col min="7431" max="7431" width="2.42578125" style="36" customWidth="1"/>
    <col min="7432" max="7432" width="11.42578125" style="36"/>
    <col min="7433" max="7433" width="9.5703125" style="36" customWidth="1"/>
    <col min="7434" max="7679" width="11.42578125" style="36"/>
    <col min="7680" max="7680" width="0.42578125" style="36" customWidth="1"/>
    <col min="7681" max="7681" width="2.5703125" style="36" customWidth="1"/>
    <col min="7682" max="7682" width="18.5703125" style="36" customWidth="1"/>
    <col min="7683" max="7683" width="1.42578125" style="36" customWidth="1"/>
    <col min="7684" max="7684" width="58.5703125" style="36" customWidth="1"/>
    <col min="7685" max="7686" width="11.42578125" style="36"/>
    <col min="7687" max="7687" width="2.42578125" style="36" customWidth="1"/>
    <col min="7688" max="7688" width="11.42578125" style="36"/>
    <col min="7689" max="7689" width="9.5703125" style="36" customWidth="1"/>
    <col min="7690" max="7935" width="11.42578125" style="36"/>
    <col min="7936" max="7936" width="0.42578125" style="36" customWidth="1"/>
    <col min="7937" max="7937" width="2.5703125" style="36" customWidth="1"/>
    <col min="7938" max="7938" width="18.5703125" style="36" customWidth="1"/>
    <col min="7939" max="7939" width="1.42578125" style="36" customWidth="1"/>
    <col min="7940" max="7940" width="58.5703125" style="36" customWidth="1"/>
    <col min="7941" max="7942" width="11.42578125" style="36"/>
    <col min="7943" max="7943" width="2.42578125" style="36" customWidth="1"/>
    <col min="7944" max="7944" width="11.42578125" style="36"/>
    <col min="7945" max="7945" width="9.5703125" style="36" customWidth="1"/>
    <col min="7946" max="8191" width="11.42578125" style="36"/>
    <col min="8192" max="8192" width="0.42578125" style="36" customWidth="1"/>
    <col min="8193" max="8193" width="2.5703125" style="36" customWidth="1"/>
    <col min="8194" max="8194" width="18.5703125" style="36" customWidth="1"/>
    <col min="8195" max="8195" width="1.42578125" style="36" customWidth="1"/>
    <col min="8196" max="8196" width="58.5703125" style="36" customWidth="1"/>
    <col min="8197" max="8198" width="11.42578125" style="36"/>
    <col min="8199" max="8199" width="2.42578125" style="36" customWidth="1"/>
    <col min="8200" max="8200" width="11.42578125" style="36"/>
    <col min="8201" max="8201" width="9.5703125" style="36" customWidth="1"/>
    <col min="8202" max="8447" width="11.42578125" style="36"/>
    <col min="8448" max="8448" width="0.42578125" style="36" customWidth="1"/>
    <col min="8449" max="8449" width="2.5703125" style="36" customWidth="1"/>
    <col min="8450" max="8450" width="18.5703125" style="36" customWidth="1"/>
    <col min="8451" max="8451" width="1.42578125" style="36" customWidth="1"/>
    <col min="8452" max="8452" width="58.5703125" style="36" customWidth="1"/>
    <col min="8453" max="8454" width="11.42578125" style="36"/>
    <col min="8455" max="8455" width="2.42578125" style="36" customWidth="1"/>
    <col min="8456" max="8456" width="11.42578125" style="36"/>
    <col min="8457" max="8457" width="9.5703125" style="36" customWidth="1"/>
    <col min="8458" max="8703" width="11.42578125" style="36"/>
    <col min="8704" max="8704" width="0.42578125" style="36" customWidth="1"/>
    <col min="8705" max="8705" width="2.5703125" style="36" customWidth="1"/>
    <col min="8706" max="8706" width="18.5703125" style="36" customWidth="1"/>
    <col min="8707" max="8707" width="1.42578125" style="36" customWidth="1"/>
    <col min="8708" max="8708" width="58.5703125" style="36" customWidth="1"/>
    <col min="8709" max="8710" width="11.42578125" style="36"/>
    <col min="8711" max="8711" width="2.42578125" style="36" customWidth="1"/>
    <col min="8712" max="8712" width="11.42578125" style="36"/>
    <col min="8713" max="8713" width="9.5703125" style="36" customWidth="1"/>
    <col min="8714" max="8959" width="11.42578125" style="36"/>
    <col min="8960" max="8960" width="0.42578125" style="36" customWidth="1"/>
    <col min="8961" max="8961" width="2.5703125" style="36" customWidth="1"/>
    <col min="8962" max="8962" width="18.5703125" style="36" customWidth="1"/>
    <col min="8963" max="8963" width="1.42578125" style="36" customWidth="1"/>
    <col min="8964" max="8964" width="58.5703125" style="36" customWidth="1"/>
    <col min="8965" max="8966" width="11.42578125" style="36"/>
    <col min="8967" max="8967" width="2.42578125" style="36" customWidth="1"/>
    <col min="8968" max="8968" width="11.42578125" style="36"/>
    <col min="8969" max="8969" width="9.5703125" style="36" customWidth="1"/>
    <col min="8970" max="9215" width="11.42578125" style="36"/>
    <col min="9216" max="9216" width="0.42578125" style="36" customWidth="1"/>
    <col min="9217" max="9217" width="2.5703125" style="36" customWidth="1"/>
    <col min="9218" max="9218" width="18.5703125" style="36" customWidth="1"/>
    <col min="9219" max="9219" width="1.42578125" style="36" customWidth="1"/>
    <col min="9220" max="9220" width="58.5703125" style="36" customWidth="1"/>
    <col min="9221" max="9222" width="11.42578125" style="36"/>
    <col min="9223" max="9223" width="2.42578125" style="36" customWidth="1"/>
    <col min="9224" max="9224" width="11.42578125" style="36"/>
    <col min="9225" max="9225" width="9.5703125" style="36" customWidth="1"/>
    <col min="9226" max="9471" width="11.42578125" style="36"/>
    <col min="9472" max="9472" width="0.42578125" style="36" customWidth="1"/>
    <col min="9473" max="9473" width="2.5703125" style="36" customWidth="1"/>
    <col min="9474" max="9474" width="18.5703125" style="36" customWidth="1"/>
    <col min="9475" max="9475" width="1.42578125" style="36" customWidth="1"/>
    <col min="9476" max="9476" width="58.5703125" style="36" customWidth="1"/>
    <col min="9477" max="9478" width="11.42578125" style="36"/>
    <col min="9479" max="9479" width="2.42578125" style="36" customWidth="1"/>
    <col min="9480" max="9480" width="11.42578125" style="36"/>
    <col min="9481" max="9481" width="9.5703125" style="36" customWidth="1"/>
    <col min="9482" max="9727" width="11.42578125" style="36"/>
    <col min="9728" max="9728" width="0.42578125" style="36" customWidth="1"/>
    <col min="9729" max="9729" width="2.5703125" style="36" customWidth="1"/>
    <col min="9730" max="9730" width="18.5703125" style="36" customWidth="1"/>
    <col min="9731" max="9731" width="1.42578125" style="36" customWidth="1"/>
    <col min="9732" max="9732" width="58.5703125" style="36" customWidth="1"/>
    <col min="9733" max="9734" width="11.42578125" style="36"/>
    <col min="9735" max="9735" width="2.42578125" style="36" customWidth="1"/>
    <col min="9736" max="9736" width="11.42578125" style="36"/>
    <col min="9737" max="9737" width="9.5703125" style="36" customWidth="1"/>
    <col min="9738" max="9983" width="11.42578125" style="36"/>
    <col min="9984" max="9984" width="0.42578125" style="36" customWidth="1"/>
    <col min="9985" max="9985" width="2.5703125" style="36" customWidth="1"/>
    <col min="9986" max="9986" width="18.5703125" style="36" customWidth="1"/>
    <col min="9987" max="9987" width="1.42578125" style="36" customWidth="1"/>
    <col min="9988" max="9988" width="58.5703125" style="36" customWidth="1"/>
    <col min="9989" max="9990" width="11.42578125" style="36"/>
    <col min="9991" max="9991" width="2.425781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42578125" style="36" customWidth="1"/>
    <col min="10241" max="10241" width="2.5703125" style="36" customWidth="1"/>
    <col min="10242" max="10242" width="18.5703125" style="36" customWidth="1"/>
    <col min="10243" max="10243" width="1.42578125" style="36" customWidth="1"/>
    <col min="10244" max="10244" width="58.5703125" style="36" customWidth="1"/>
    <col min="10245" max="10246" width="11.42578125" style="36"/>
    <col min="10247" max="10247" width="2.425781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42578125" style="36" customWidth="1"/>
    <col min="10497" max="10497" width="2.5703125" style="36" customWidth="1"/>
    <col min="10498" max="10498" width="18.5703125" style="36" customWidth="1"/>
    <col min="10499" max="10499" width="1.42578125" style="36" customWidth="1"/>
    <col min="10500" max="10500" width="58.5703125" style="36" customWidth="1"/>
    <col min="10501" max="10502" width="11.42578125" style="36"/>
    <col min="10503" max="10503" width="2.425781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42578125" style="36" customWidth="1"/>
    <col min="10753" max="10753" width="2.5703125" style="36" customWidth="1"/>
    <col min="10754" max="10754" width="18.5703125" style="36" customWidth="1"/>
    <col min="10755" max="10755" width="1.42578125" style="36" customWidth="1"/>
    <col min="10756" max="10756" width="58.5703125" style="36" customWidth="1"/>
    <col min="10757" max="10758" width="11.42578125" style="36"/>
    <col min="10759" max="10759" width="2.425781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42578125" style="36" customWidth="1"/>
    <col min="11009" max="11009" width="2.5703125" style="36" customWidth="1"/>
    <col min="11010" max="11010" width="18.5703125" style="36" customWidth="1"/>
    <col min="11011" max="11011" width="1.42578125" style="36" customWidth="1"/>
    <col min="11012" max="11012" width="58.5703125" style="36" customWidth="1"/>
    <col min="11013" max="11014" width="11.42578125" style="36"/>
    <col min="11015" max="11015" width="2.425781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42578125" style="36" customWidth="1"/>
    <col min="11265" max="11265" width="2.5703125" style="36" customWidth="1"/>
    <col min="11266" max="11266" width="18.5703125" style="36" customWidth="1"/>
    <col min="11267" max="11267" width="1.42578125" style="36" customWidth="1"/>
    <col min="11268" max="11268" width="58.5703125" style="36" customWidth="1"/>
    <col min="11269" max="11270" width="11.42578125" style="36"/>
    <col min="11271" max="11271" width="2.425781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42578125" style="36" customWidth="1"/>
    <col min="11521" max="11521" width="2.5703125" style="36" customWidth="1"/>
    <col min="11522" max="11522" width="18.5703125" style="36" customWidth="1"/>
    <col min="11523" max="11523" width="1.42578125" style="36" customWidth="1"/>
    <col min="11524" max="11524" width="58.5703125" style="36" customWidth="1"/>
    <col min="11525" max="11526" width="11.42578125" style="36"/>
    <col min="11527" max="11527" width="2.425781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42578125" style="36" customWidth="1"/>
    <col min="11777" max="11777" width="2.5703125" style="36" customWidth="1"/>
    <col min="11778" max="11778" width="18.5703125" style="36" customWidth="1"/>
    <col min="11779" max="11779" width="1.42578125" style="36" customWidth="1"/>
    <col min="11780" max="11780" width="58.5703125" style="36" customWidth="1"/>
    <col min="11781" max="11782" width="11.42578125" style="36"/>
    <col min="11783" max="11783" width="2.425781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42578125" style="36" customWidth="1"/>
    <col min="12033" max="12033" width="2.5703125" style="36" customWidth="1"/>
    <col min="12034" max="12034" width="18.5703125" style="36" customWidth="1"/>
    <col min="12035" max="12035" width="1.42578125" style="36" customWidth="1"/>
    <col min="12036" max="12036" width="58.5703125" style="36" customWidth="1"/>
    <col min="12037" max="12038" width="11.42578125" style="36"/>
    <col min="12039" max="12039" width="2.425781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42578125" style="36" customWidth="1"/>
    <col min="12289" max="12289" width="2.5703125" style="36" customWidth="1"/>
    <col min="12290" max="12290" width="18.5703125" style="36" customWidth="1"/>
    <col min="12291" max="12291" width="1.42578125" style="36" customWidth="1"/>
    <col min="12292" max="12292" width="58.5703125" style="36" customWidth="1"/>
    <col min="12293" max="12294" width="11.42578125" style="36"/>
    <col min="12295" max="12295" width="2.425781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42578125" style="36" customWidth="1"/>
    <col min="12545" max="12545" width="2.5703125" style="36" customWidth="1"/>
    <col min="12546" max="12546" width="18.5703125" style="36" customWidth="1"/>
    <col min="12547" max="12547" width="1.42578125" style="36" customWidth="1"/>
    <col min="12548" max="12548" width="58.5703125" style="36" customWidth="1"/>
    <col min="12549" max="12550" width="11.42578125" style="36"/>
    <col min="12551" max="12551" width="2.425781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42578125" style="36" customWidth="1"/>
    <col min="12801" max="12801" width="2.5703125" style="36" customWidth="1"/>
    <col min="12802" max="12802" width="18.5703125" style="36" customWidth="1"/>
    <col min="12803" max="12803" width="1.42578125" style="36" customWidth="1"/>
    <col min="12804" max="12804" width="58.5703125" style="36" customWidth="1"/>
    <col min="12805" max="12806" width="11.42578125" style="36"/>
    <col min="12807" max="12807" width="2.425781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42578125" style="36" customWidth="1"/>
    <col min="13057" max="13057" width="2.5703125" style="36" customWidth="1"/>
    <col min="13058" max="13058" width="18.5703125" style="36" customWidth="1"/>
    <col min="13059" max="13059" width="1.42578125" style="36" customWidth="1"/>
    <col min="13060" max="13060" width="58.5703125" style="36" customWidth="1"/>
    <col min="13061" max="13062" width="11.42578125" style="36"/>
    <col min="13063" max="13063" width="2.425781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42578125" style="36" customWidth="1"/>
    <col min="13313" max="13313" width="2.5703125" style="36" customWidth="1"/>
    <col min="13314" max="13314" width="18.5703125" style="36" customWidth="1"/>
    <col min="13315" max="13315" width="1.42578125" style="36" customWidth="1"/>
    <col min="13316" max="13316" width="58.5703125" style="36" customWidth="1"/>
    <col min="13317" max="13318" width="11.42578125" style="36"/>
    <col min="13319" max="13319" width="2.425781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42578125" style="36" customWidth="1"/>
    <col min="13569" max="13569" width="2.5703125" style="36" customWidth="1"/>
    <col min="13570" max="13570" width="18.5703125" style="36" customWidth="1"/>
    <col min="13571" max="13571" width="1.42578125" style="36" customWidth="1"/>
    <col min="13572" max="13572" width="58.5703125" style="36" customWidth="1"/>
    <col min="13573" max="13574" width="11.42578125" style="36"/>
    <col min="13575" max="13575" width="2.425781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42578125" style="36" customWidth="1"/>
    <col min="13825" max="13825" width="2.5703125" style="36" customWidth="1"/>
    <col min="13826" max="13826" width="18.5703125" style="36" customWidth="1"/>
    <col min="13827" max="13827" width="1.42578125" style="36" customWidth="1"/>
    <col min="13828" max="13828" width="58.5703125" style="36" customWidth="1"/>
    <col min="13829" max="13830" width="11.42578125" style="36"/>
    <col min="13831" max="13831" width="2.425781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42578125" style="36" customWidth="1"/>
    <col min="14081" max="14081" width="2.5703125" style="36" customWidth="1"/>
    <col min="14082" max="14082" width="18.5703125" style="36" customWidth="1"/>
    <col min="14083" max="14083" width="1.42578125" style="36" customWidth="1"/>
    <col min="14084" max="14084" width="58.5703125" style="36" customWidth="1"/>
    <col min="14085" max="14086" width="11.42578125" style="36"/>
    <col min="14087" max="14087" width="2.425781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42578125" style="36" customWidth="1"/>
    <col min="14337" max="14337" width="2.5703125" style="36" customWidth="1"/>
    <col min="14338" max="14338" width="18.5703125" style="36" customWidth="1"/>
    <col min="14339" max="14339" width="1.42578125" style="36" customWidth="1"/>
    <col min="14340" max="14340" width="58.5703125" style="36" customWidth="1"/>
    <col min="14341" max="14342" width="11.42578125" style="36"/>
    <col min="14343" max="14343" width="2.425781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42578125" style="36" customWidth="1"/>
    <col min="14593" max="14593" width="2.5703125" style="36" customWidth="1"/>
    <col min="14594" max="14594" width="18.5703125" style="36" customWidth="1"/>
    <col min="14595" max="14595" width="1.42578125" style="36" customWidth="1"/>
    <col min="14596" max="14596" width="58.5703125" style="36" customWidth="1"/>
    <col min="14597" max="14598" width="11.42578125" style="36"/>
    <col min="14599" max="14599" width="2.425781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42578125" style="36" customWidth="1"/>
    <col min="14849" max="14849" width="2.5703125" style="36" customWidth="1"/>
    <col min="14850" max="14850" width="18.5703125" style="36" customWidth="1"/>
    <col min="14851" max="14851" width="1.42578125" style="36" customWidth="1"/>
    <col min="14852" max="14852" width="58.5703125" style="36" customWidth="1"/>
    <col min="14853" max="14854" width="11.42578125" style="36"/>
    <col min="14855" max="14855" width="2.425781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42578125" style="36" customWidth="1"/>
    <col min="15105" max="15105" width="2.5703125" style="36" customWidth="1"/>
    <col min="15106" max="15106" width="18.5703125" style="36" customWidth="1"/>
    <col min="15107" max="15107" width="1.42578125" style="36" customWidth="1"/>
    <col min="15108" max="15108" width="58.5703125" style="36" customWidth="1"/>
    <col min="15109" max="15110" width="11.42578125" style="36"/>
    <col min="15111" max="15111" width="2.425781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42578125" style="36" customWidth="1"/>
    <col min="15361" max="15361" width="2.5703125" style="36" customWidth="1"/>
    <col min="15362" max="15362" width="18.5703125" style="36" customWidth="1"/>
    <col min="15363" max="15363" width="1.42578125" style="36" customWidth="1"/>
    <col min="15364" max="15364" width="58.5703125" style="36" customWidth="1"/>
    <col min="15365" max="15366" width="11.42578125" style="36"/>
    <col min="15367" max="15367" width="2.425781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42578125" style="36" customWidth="1"/>
    <col min="15617" max="15617" width="2.5703125" style="36" customWidth="1"/>
    <col min="15618" max="15618" width="18.5703125" style="36" customWidth="1"/>
    <col min="15619" max="15619" width="1.42578125" style="36" customWidth="1"/>
    <col min="15620" max="15620" width="58.5703125" style="36" customWidth="1"/>
    <col min="15621" max="15622" width="11.42578125" style="36"/>
    <col min="15623" max="15623" width="2.425781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42578125" style="36" customWidth="1"/>
    <col min="15873" max="15873" width="2.5703125" style="36" customWidth="1"/>
    <col min="15874" max="15874" width="18.5703125" style="36" customWidth="1"/>
    <col min="15875" max="15875" width="1.42578125" style="36" customWidth="1"/>
    <col min="15876" max="15876" width="58.5703125" style="36" customWidth="1"/>
    <col min="15877" max="15878" width="11.42578125" style="36"/>
    <col min="15879" max="15879" width="2.425781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42578125" style="36" customWidth="1"/>
    <col min="16129" max="16129" width="2.5703125" style="36" customWidth="1"/>
    <col min="16130" max="16130" width="18.5703125" style="36" customWidth="1"/>
    <col min="16131" max="16131" width="1.42578125" style="36" customWidth="1"/>
    <col min="16132" max="16132" width="58.5703125" style="36" customWidth="1"/>
    <col min="16133" max="16134" width="11.42578125" style="36"/>
    <col min="16135" max="16135" width="2.425781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0" t="s">
        <v>1</v>
      </c>
    </row>
    <row r="3" spans="2:7" s="26" customFormat="1" ht="15" customHeight="1">
      <c r="E3" s="27"/>
      <c r="G3" s="101" t="str">
        <f>Indice!E3</f>
        <v>Junio 2026</v>
      </c>
    </row>
    <row r="4" spans="2:7" s="29" customFormat="1" ht="20.25" customHeight="1">
      <c r="B4" s="28"/>
      <c r="C4" s="99" t="s">
        <v>64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33" t="s">
        <v>70</v>
      </c>
      <c r="D7" s="32"/>
      <c r="E7" s="39"/>
      <c r="F7" s="32"/>
    </row>
    <row r="8" spans="2:7" s="29" customFormat="1" ht="12.75" customHeight="1">
      <c r="B8" s="28"/>
      <c r="C8" s="333"/>
      <c r="D8" s="32"/>
      <c r="E8" s="39"/>
      <c r="F8" s="32"/>
    </row>
    <row r="9" spans="2:7" s="29" customFormat="1" ht="12.75" customHeight="1">
      <c r="B9" s="28"/>
      <c r="C9" s="333"/>
      <c r="D9" s="32"/>
      <c r="E9" s="39"/>
      <c r="F9" s="32"/>
    </row>
    <row r="10" spans="2:7" s="29" customFormat="1" ht="12.75" customHeight="1">
      <c r="B10" s="28"/>
      <c r="C10" s="333"/>
      <c r="D10" s="32"/>
      <c r="E10" s="39"/>
      <c r="F10" s="32"/>
    </row>
    <row r="11" spans="2:7" s="29" customFormat="1" ht="12.75" customHeight="1">
      <c r="B11" s="28"/>
      <c r="C11" s="127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0"/>
      <c r="G22" s="230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Junio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3" t="s">
        <v>59</v>
      </c>
      <c r="E7" s="4"/>
    </row>
    <row r="8" spans="3:25">
      <c r="C8" s="333"/>
      <c r="E8" s="4"/>
    </row>
    <row r="9" spans="3:25">
      <c r="C9" s="333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Junio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3" t="s">
        <v>161</v>
      </c>
      <c r="E7" s="4"/>
    </row>
    <row r="8" spans="3:25">
      <c r="C8" s="333"/>
      <c r="E8" s="4"/>
    </row>
    <row r="9" spans="3:25">
      <c r="C9" s="333"/>
      <c r="E9" s="4"/>
    </row>
    <row r="10" spans="3:25">
      <c r="C10" s="333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A2" zoomScaleNormal="100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Junio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3" t="s">
        <v>53</v>
      </c>
      <c r="E7" s="4"/>
    </row>
    <row r="8" spans="3:25">
      <c r="C8" s="333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Junio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33" t="s">
        <v>58</v>
      </c>
      <c r="E7" s="4"/>
    </row>
    <row r="8" spans="3:25">
      <c r="C8" s="333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240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918D3-A825-4D28-8B00-5D0085677D3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8a808b56-9519-4f3c-a07e-328060d9d6d3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fdc812d0-7ad8-4a82-9195-c1c1a8745337"/>
  </ds:schemaRefs>
</ds:datastoreItem>
</file>

<file path=customXml/itemProps3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P18 DESGLOSE</vt:lpstr>
      <vt:lpstr>P19</vt:lpstr>
      <vt:lpstr>P20</vt:lpstr>
      <vt:lpstr>P21</vt:lpstr>
      <vt:lpstr>Dat_01</vt:lpstr>
      <vt:lpstr>Dat_02</vt:lpstr>
      <vt:lpstr>Data 2</vt:lpstr>
      <vt:lpstr>Data 3</vt:lpstr>
      <vt:lpstr>Data 4</vt:lpstr>
      <vt:lpstr>Dat_07</vt:lpstr>
      <vt:lpstr>Data 5</vt:lpstr>
      <vt:lpstr>Data 6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2026-07-10T09:58:40Z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