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7\MAY\INF_ELABORADA\"/>
    </mc:Choice>
  </mc:AlternateContent>
  <bookViews>
    <workbookView xWindow="0" yWindow="0" windowWidth="19395" windowHeight="7440" tabRatio="1000"/>
  </bookViews>
  <sheets>
    <sheet name="Indice" sheetId="92" r:id="rId1"/>
    <sheet name="M1" sheetId="70" r:id="rId2"/>
    <sheet name="M2" sheetId="71" r:id="rId3"/>
    <sheet name="M3" sheetId="3" r:id="rId4"/>
    <sheet name="M4" sheetId="53" r:id="rId5"/>
    <sheet name="M5" sheetId="10" r:id="rId6"/>
    <sheet name="M6" sheetId="76" r:id="rId7"/>
    <sheet name="M7" sheetId="75" r:id="rId8"/>
    <sheet name="M8" sheetId="58" r:id="rId9"/>
    <sheet name="M9" sheetId="77" r:id="rId10"/>
    <sheet name="M10" sheetId="83" r:id="rId11"/>
    <sheet name="M11" sheetId="85" r:id="rId12"/>
    <sheet name="M12" sheetId="86" r:id="rId13"/>
    <sheet name="M13" sheetId="87" r:id="rId14"/>
    <sheet name="M14" sheetId="84" r:id="rId15"/>
    <sheet name="Data 1" sheetId="88" r:id="rId16"/>
    <sheet name="Data 2" sheetId="91" r:id="rId17"/>
  </sheets>
  <externalReferences>
    <externalReference r:id="rId18"/>
    <externalReference r:id="rId19"/>
  </externalReferences>
  <definedNames>
    <definedName name="_xlnm.Print_Area" localSheetId="1">'M1'!$B$2:$K$63</definedName>
    <definedName name="_xlnm.Print_Area" localSheetId="10">'M10'!$A$4:$M$67</definedName>
    <definedName name="_xlnm.Print_Area" localSheetId="11">'M11'!$A$4:$M$67</definedName>
    <definedName name="_xlnm.Print_Area" localSheetId="12">'M12'!$A$4:$M$67</definedName>
    <definedName name="_xlnm.Print_Area" localSheetId="13">'M13'!$A$4:$M$67</definedName>
    <definedName name="_xlnm.Print_Area" localSheetId="14">'M14'!$A$4:$M$67</definedName>
    <definedName name="_xlnm.Print_Area" localSheetId="2">'M2'!$A$1:$E$22</definedName>
    <definedName name="_xlnm.Print_Area" localSheetId="3">'M3'!$A$1:$E$22</definedName>
    <definedName name="_xlnm.Print_Area" localSheetId="5">'M5'!$A$1:$E$22</definedName>
    <definedName name="_xlnm.Print_Area" localSheetId="6">'M6'!$A$1:$E$22</definedName>
    <definedName name="_xlnm.Print_Area" localSheetId="7">'M7'!$A$1:$E$22</definedName>
    <definedName name="_xlnm.Print_Area" localSheetId="8">'M8'!$A$4:$M$69</definedName>
    <definedName name="_xlnm.Print_Area" localSheetId="9">'M9'!$A$4:$M$67</definedName>
    <definedName name="CUADRO_ANTERIOR" localSheetId="0">Indice!CUADRO_ANTERIOR</definedName>
    <definedName name="CUADRO_ANTERIOR" localSheetId="1">'M1'!CUADRO_ANTERIOR</definedName>
    <definedName name="CUADRO_ANTERIOR">[0]!CUADRO_ANTERIOR</definedName>
    <definedName name="cuadro_anterior_jcol" localSheetId="0">Indice!CUADRO_ANTERIOR</definedName>
    <definedName name="cuadro_anterior_jcol" localSheetId="1">'M1'!CUADRO_ANTERIOR</definedName>
    <definedName name="cuadro_anterior_jcol">[0]!CUADRO_ANTERIOR</definedName>
    <definedName name="CUADRO_PROXIMO" localSheetId="0">Indice!CUADRO_PROXIMO</definedName>
    <definedName name="CUADRO_PROXIMO" localSheetId="1">'M1'!CUADRO_PROXIMO</definedName>
    <definedName name="CUADRO_PROXIMO">[0]!CUADRO_PROXIMO</definedName>
    <definedName name="cuadro_proximo_jcol" localSheetId="0">Indice!CUADRO_PROXIMO</definedName>
    <definedName name="cuadro_proximo_jcol" localSheetId="1">'M1'!CUADRO_PROXIMO</definedName>
    <definedName name="cuadro_proximo_jcol">[0]!CUADRO_PROXIMO</definedName>
    <definedName name="Demanda">[1]Demanda!$D$371:$AA$371</definedName>
    <definedName name="Fecha">[1]I.Precios!$A$1:$A$74</definedName>
    <definedName name="FINALIZAR" localSheetId="0">Indice!FINALIZAR</definedName>
    <definedName name="FINALIZAR" localSheetId="1">'M1'!FINALIZAR</definedName>
    <definedName name="FINALIZAR">[0]!FINALIZAR</definedName>
    <definedName name="finalizar_jcol" localSheetId="0">Indice!FINALIZAR</definedName>
    <definedName name="finalizar_jcol" localSheetId="1">'M1'!FINALIZAR</definedName>
    <definedName name="finalizar_jcol">[0]!FINALIZAR</definedName>
    <definedName name="fl" localSheetId="0">Indice!CUADRO_PROXIMO</definedName>
    <definedName name="fl" localSheetId="1">[0]!CUADRO_PROXIMO</definedName>
    <definedName name="fl">[0]!CUADRO_PROXIMO</definedName>
    <definedName name="hola" localSheetId="0">Indice!FINALIZAR</definedName>
    <definedName name="hola" localSheetId="1">[0]!FINALIZAR</definedName>
    <definedName name="hola">[0]!FINALIZAR</definedName>
    <definedName name="Horas" localSheetId="1">[2]I.Precios!#REF!</definedName>
    <definedName name="Horas" localSheetId="10">[1]I.Precios!#REF!</definedName>
    <definedName name="Horas" localSheetId="11">[1]I.Precios!#REF!</definedName>
    <definedName name="Horas" localSheetId="12">[1]I.Precios!#REF!</definedName>
    <definedName name="Horas" localSheetId="13">[1]I.Precios!#REF!</definedName>
    <definedName name="Horas" localSheetId="14">[1]I.Precios!#REF!</definedName>
    <definedName name="Horas" localSheetId="2">[1]I.Precios!#REF!</definedName>
    <definedName name="Horas" localSheetId="6">[1]I.Precios!#REF!</definedName>
    <definedName name="Horas" localSheetId="7">[1]I.Precios!#REF!</definedName>
    <definedName name="Horas" localSheetId="8">[1]I.Precios!#REF!</definedName>
    <definedName name="Horas" localSheetId="9">[1]I.Precios!#REF!</definedName>
    <definedName name="Horas">[1]I.Precios!#REF!</definedName>
    <definedName name="IMPRESION" localSheetId="0">Indice!IMPRESION</definedName>
    <definedName name="IMPRESION" localSheetId="1">'M1'!IMPRESION</definedName>
    <definedName name="IMPRESION">[0]!IMPRESION</definedName>
    <definedName name="impresion_jcol" localSheetId="0">Indice!IMPRESION</definedName>
    <definedName name="impresion_jcol" localSheetId="1">'M1'!IMPRESION</definedName>
    <definedName name="impresion_jcol">[0]!IMPRESION</definedName>
    <definedName name="Índice" localSheetId="0">[0]!INDICE</definedName>
    <definedName name="Índice" localSheetId="1">[0]!INDICE</definedName>
    <definedName name="Índice" localSheetId="10">[0]!INDICE</definedName>
    <definedName name="Índice" localSheetId="11">[0]!INDICE</definedName>
    <definedName name="Índice" localSheetId="12">[0]!INDICE</definedName>
    <definedName name="Índice" localSheetId="13">[0]!INDICE</definedName>
    <definedName name="Índice" localSheetId="14">[0]!INDICE</definedName>
    <definedName name="Índice" localSheetId="2">[0]!INDICE</definedName>
    <definedName name="Índice" localSheetId="6">[0]!INDICE</definedName>
    <definedName name="Índice" localSheetId="7">[0]!INDICE</definedName>
    <definedName name="Índice" localSheetId="8">[0]!INDICE</definedName>
    <definedName name="Índice" localSheetId="9">[0]!INDICE</definedName>
    <definedName name="Índice">[0]!INDICE</definedName>
    <definedName name="indice_jcol" localSheetId="0">[0]!INDICE</definedName>
    <definedName name="indice_jcol" localSheetId="1">[0]!INDICE</definedName>
    <definedName name="indice_jcol" localSheetId="10">[0]!INDICE</definedName>
    <definedName name="indice_jcol" localSheetId="11">[0]!INDICE</definedName>
    <definedName name="indice_jcol" localSheetId="12">[0]!INDICE</definedName>
    <definedName name="indice_jcol" localSheetId="13">[0]!INDICE</definedName>
    <definedName name="indice_jcol" localSheetId="14">[0]!INDICE</definedName>
    <definedName name="indice_jcol" localSheetId="2">[0]!INDICE</definedName>
    <definedName name="indice_jcol" localSheetId="6">[0]!INDICE</definedName>
    <definedName name="indice_jcol" localSheetId="7">[0]!INDICE</definedName>
    <definedName name="indice_jcol" localSheetId="8">[0]!INDICE</definedName>
    <definedName name="indice_jcol" localSheetId="9">[0]!INDICE</definedName>
    <definedName name="indice_jcol">[0]!INDICE</definedName>
    <definedName name="jkhjklhjkhjkl" localSheetId="0">Indice!PRINCIPAL</definedName>
    <definedName name="jkhjklhjkhjkl" localSheetId="1">[0]!PRINCIPAL</definedName>
    <definedName name="jkhjklhjkhjkl" localSheetId="10">'M10'!PRINCIPAL</definedName>
    <definedName name="jkhjklhjkhjkl" localSheetId="11">'M11'!PRINCIPAL</definedName>
    <definedName name="jkhjklhjkhjkl" localSheetId="12">'M12'!PRINCIPAL</definedName>
    <definedName name="jkhjklhjkhjkl" localSheetId="13">'M13'!PRINCIPAL</definedName>
    <definedName name="jkhjklhjkhjkl" localSheetId="14">'M14'!PRINCIPAL</definedName>
    <definedName name="jkhjklhjkhjkl" localSheetId="2">'M2'!PRINCIPAL</definedName>
    <definedName name="jkhjklhjkhjkl" localSheetId="6">'M6'!PRINCIPAL</definedName>
    <definedName name="jkhjklhjkhjkl" localSheetId="7">'M7'!PRINCIPAL</definedName>
    <definedName name="jkhjklhjkhjkl" localSheetId="9">'M9'!PRINCIPAL</definedName>
    <definedName name="jkhjklhjkhjkl">[0]!PRINCIPAL</definedName>
    <definedName name="lionel" localSheetId="0">Indice!CUADRO_PROXIMO</definedName>
    <definedName name="lionel">[0]!CUADRO_PROXIMO</definedName>
    <definedName name="MSTR.Asignaciones__Mensual_simple_" localSheetId="0">#REF!</definedName>
    <definedName name="MSTR.Asignaciones__Mensual_simple_" localSheetId="10">#REF!</definedName>
    <definedName name="MSTR.Asignaciones__Mensual_simple_" localSheetId="11">#REF!</definedName>
    <definedName name="MSTR.Asignaciones__Mensual_simple_" localSheetId="12">#REF!</definedName>
    <definedName name="MSTR.Asignaciones__Mensual_simple_" localSheetId="13">#REF!</definedName>
    <definedName name="MSTR.Asignaciones__Mensual_simple_" localSheetId="14">#REF!</definedName>
    <definedName name="MSTR.Asignaciones__Mensual_simple_" localSheetId="2">#REF!</definedName>
    <definedName name="MSTR.Asignaciones__Mensual_simple_" localSheetId="6">#REF!</definedName>
    <definedName name="MSTR.Asignaciones__Mensual_simple_" localSheetId="7">#REF!</definedName>
    <definedName name="MSTR.Asignaciones__Mensual_simple_" localSheetId="9">#REF!</definedName>
    <definedName name="MSTR.Asignaciones__Mensual_simple_">#REF!</definedName>
    <definedName name="MSTR.Asignaciones__Periodo_simple___Combustible" localSheetId="0">#REF!</definedName>
    <definedName name="MSTR.Asignaciones__Periodo_simple___Combustible">#REF!</definedName>
    <definedName name="MSTR.Asignaciones_Gestión_de_desvíos" localSheetId="0">#REF!</definedName>
    <definedName name="MSTR.Asignaciones_Gestión_de_desvíos">#REF!</definedName>
    <definedName name="MSTR.Asignaciones_Restricciones_TReal" localSheetId="0">#REF!</definedName>
    <definedName name="MSTR.Asignaciones_Restricciones_TReal">#REF!</definedName>
    <definedName name="MSTR.Energia_de_Regulación_Secundaria" localSheetId="0">#REF!</definedName>
    <definedName name="MSTR.Energia_de_Regulación_Secundaria">#REF!</definedName>
    <definedName name="MSTR.Energía_restricciones_técnicas_PDBF_Combustible" localSheetId="0">#REF!</definedName>
    <definedName name="MSTR.Energía_restricciones_técnicas_PDBF_Combustible" localSheetId="10">#REF!</definedName>
    <definedName name="MSTR.Energía_restricciones_técnicas_PDBF_Combustible" localSheetId="11">#REF!</definedName>
    <definedName name="MSTR.Energía_restricciones_técnicas_PDBF_Combustible" localSheetId="12">#REF!</definedName>
    <definedName name="MSTR.Energía_restricciones_técnicas_PDBF_Combustible" localSheetId="13">#REF!</definedName>
    <definedName name="MSTR.Energía_restricciones_técnicas_PDBF_Combustible" localSheetId="14">#REF!</definedName>
    <definedName name="MSTR.Energía_restricciones_técnicas_PDBF_Combustible" localSheetId="6">#REF!</definedName>
    <definedName name="MSTR.Energía_restricciones_técnicas_PDBF_Combustible" localSheetId="7">#REF!</definedName>
    <definedName name="MSTR.Energía_restricciones_técnicas_PDBF_Combustible" localSheetId="9">#REF!</definedName>
    <definedName name="MSTR.Energía_restricciones_técnicas_PDBF_Combustible">#REF!</definedName>
    <definedName name="MSTR.Mercados_de_Operacion._Energía_Gestionada" localSheetId="0">#REF!</definedName>
    <definedName name="MSTR.Mercados_de_Operacion._Energía_Gestionada" localSheetId="10">#REF!</definedName>
    <definedName name="MSTR.Mercados_de_Operacion._Energía_Gestionada" localSheetId="11">#REF!</definedName>
    <definedName name="MSTR.Mercados_de_Operacion._Energía_Gestionada" localSheetId="12">#REF!</definedName>
    <definedName name="MSTR.Mercados_de_Operacion._Energía_Gestionada" localSheetId="13">#REF!</definedName>
    <definedName name="MSTR.Mercados_de_Operacion._Energía_Gestionada" localSheetId="14">#REF!</definedName>
    <definedName name="MSTR.Mercados_de_Operacion._Energía_Gestionada" localSheetId="9">#REF!</definedName>
    <definedName name="MSTR.Mercados_de_Operacion._Energía_Gestionada">#REF!</definedName>
    <definedName name="MSTR.Res_adi_subir_mensual__Combustible" localSheetId="0">#REF!</definedName>
    <definedName name="MSTR.Res_adi_subir_mensual__Combustible">#REF!</definedName>
    <definedName name="nuevo" localSheetId="0">Indice!CUADRO_PROXIMO</definedName>
    <definedName name="nuevo" localSheetId="1">[0]!CUADRO_PROXIMO</definedName>
    <definedName name="nuevo">[0]!CUADRO_PROXIMO</definedName>
    <definedName name="PRINCIPAL" localSheetId="0">#N/A</definedName>
    <definedName name="PRINCIPAL" localSheetId="1">'M1'!PRINCIPAL</definedName>
    <definedName name="PRINCIPAL" localSheetId="10">#N/A</definedName>
    <definedName name="PRINCIPAL" localSheetId="11">#N/A</definedName>
    <definedName name="PRINCIPAL" localSheetId="12">#N/A</definedName>
    <definedName name="PRINCIPAL" localSheetId="13">#N/A</definedName>
    <definedName name="PRINCIPAL" localSheetId="14">#N/A</definedName>
    <definedName name="PRINCIPAL" localSheetId="2">#N/A</definedName>
    <definedName name="PRINCIPAL" localSheetId="6">#N/A</definedName>
    <definedName name="PRINCIPAL" localSheetId="7">#N/A</definedName>
    <definedName name="PRINCIPAL" localSheetId="9">#N/A</definedName>
    <definedName name="PRINCIPAL">'M9'!PRINCIPAL</definedName>
    <definedName name="principal_jcol" localSheetId="0">Indice!PRINCIPAL</definedName>
    <definedName name="principal_jcol" localSheetId="1">'M1'!PRINCIPAL</definedName>
    <definedName name="principal_jcol" localSheetId="10">'M10'!PRINCIPAL</definedName>
    <definedName name="principal_jcol" localSheetId="11">'M11'!PRINCIPAL</definedName>
    <definedName name="principal_jcol" localSheetId="12">'M12'!PRINCIPAL</definedName>
    <definedName name="principal_jcol" localSheetId="13">'M13'!PRINCIPAL</definedName>
    <definedName name="principal_jcol" localSheetId="14">'M14'!PRINCIPAL</definedName>
    <definedName name="principal_jcol" localSheetId="2">'M2'!PRINCIPAL</definedName>
    <definedName name="principal_jcol" localSheetId="6">'M6'!PRINCIPAL</definedName>
    <definedName name="principal_jcol" localSheetId="7">'M7'!PRINCIPAL</definedName>
    <definedName name="principal_jcol" localSheetId="9">'M9'!PRINCIPAL</definedName>
    <definedName name="principal_jcol">[0]!PRINCIPAL</definedName>
    <definedName name="Rango" localSheetId="1">[2]I.PxD!#REF!</definedName>
    <definedName name="Rango" localSheetId="10">[1]I.PxD!#REF!</definedName>
    <definedName name="Rango" localSheetId="11">[1]I.PxD!#REF!</definedName>
    <definedName name="Rango" localSheetId="12">[1]I.PxD!#REF!</definedName>
    <definedName name="Rango" localSheetId="13">[1]I.PxD!#REF!</definedName>
    <definedName name="Rango" localSheetId="14">[1]I.PxD!#REF!</definedName>
    <definedName name="Rango" localSheetId="2">[1]I.PxD!#REF!</definedName>
    <definedName name="Rango" localSheetId="6">[1]I.PxD!#REF!</definedName>
    <definedName name="Rango" localSheetId="7">[1]I.PxD!#REF!</definedName>
    <definedName name="Rango" localSheetId="8">[1]I.PxD!#REF!</definedName>
    <definedName name="Rango" localSheetId="9">[1]I.PxD!#REF!</definedName>
    <definedName name="Rango">[1]I.PxD!#REF!</definedName>
    <definedName name="sfasfasf" localSheetId="0">[0]!INDICE</definedName>
    <definedName name="sfasfasf" localSheetId="1">[0]!INDICE</definedName>
    <definedName name="sfasfasf" localSheetId="10">[0]!INDICE</definedName>
    <definedName name="sfasfasf" localSheetId="11">[0]!INDICE</definedName>
    <definedName name="sfasfasf" localSheetId="12">[0]!INDICE</definedName>
    <definedName name="sfasfasf" localSheetId="13">[0]!INDICE</definedName>
    <definedName name="sfasfasf" localSheetId="14">[0]!INDICE</definedName>
    <definedName name="sfasfasf" localSheetId="2">[0]!INDICE</definedName>
    <definedName name="sfasfasf" localSheetId="6">[0]!INDICE</definedName>
    <definedName name="sfasfasf" localSheetId="7">[0]!INDICE</definedName>
    <definedName name="sfasfasf" localSheetId="8">[0]!INDICE</definedName>
    <definedName name="sfasfasf" localSheetId="9">[0]!INDICE</definedName>
    <definedName name="sfasfasf">[0]!INDICE</definedName>
    <definedName name="v" localSheetId="0">Indice!CUADRO_PROXIMO</definedName>
    <definedName name="v" localSheetId="1">[0]!CUADRO_PROXIMO</definedName>
    <definedName name="v">[0]!CUADRO_PROXIMO</definedName>
    <definedName name="xx" localSheetId="0">[0]!INDICE</definedName>
    <definedName name="xx" localSheetId="1">[0]!INDICE</definedName>
    <definedName name="xx" localSheetId="10">[0]!INDICE</definedName>
    <definedName name="xx" localSheetId="11">[0]!INDICE</definedName>
    <definedName name="xx" localSheetId="12">[0]!INDICE</definedName>
    <definedName name="xx" localSheetId="13">[0]!INDICE</definedName>
    <definedName name="xx" localSheetId="14">[0]!INDICE</definedName>
    <definedName name="xx" localSheetId="2">[0]!INDICE</definedName>
    <definedName name="xx" localSheetId="6">[0]!INDICE</definedName>
    <definedName name="xx" localSheetId="7">[0]!INDICE</definedName>
    <definedName name="xx" localSheetId="8">[0]!INDICE</definedName>
    <definedName name="xx" localSheetId="9">[0]!INDICE</definedName>
    <definedName name="xx">[0]!INDICE</definedName>
  </definedNames>
  <calcPr calcId="152511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O91" i="88" l="1"/>
  <c r="O155" i="91"/>
  <c r="O154" i="91"/>
  <c r="O153" i="91"/>
  <c r="O152" i="91"/>
  <c r="O151" i="91"/>
  <c r="P111" i="91"/>
  <c r="P110" i="91"/>
  <c r="P109" i="91"/>
  <c r="P108" i="91"/>
  <c r="P107" i="91"/>
  <c r="P78" i="91"/>
  <c r="P77" i="91"/>
  <c r="P76" i="91"/>
  <c r="P75" i="91"/>
  <c r="P74" i="91"/>
  <c r="O30" i="91"/>
  <c r="O29" i="91"/>
  <c r="O28" i="91"/>
  <c r="O27" i="91"/>
  <c r="O26" i="91"/>
  <c r="E165" i="88"/>
  <c r="E164" i="88"/>
  <c r="E163" i="88"/>
  <c r="E162" i="88"/>
  <c r="E161" i="88"/>
  <c r="G18" i="76" l="1"/>
  <c r="K78" i="88"/>
  <c r="H78" i="88" s="1"/>
  <c r="J78" i="88"/>
  <c r="C86" i="88"/>
  <c r="O83" i="88"/>
  <c r="O82" i="88"/>
  <c r="M74" i="88"/>
  <c r="G39" i="88"/>
  <c r="L74" i="88"/>
  <c r="E3" i="92" l="1"/>
  <c r="O21" i="91" l="1"/>
  <c r="N21" i="91"/>
  <c r="M21" i="91"/>
  <c r="L21" i="91"/>
  <c r="K21" i="91"/>
  <c r="J21" i="91"/>
  <c r="I21" i="91"/>
  <c r="H21" i="91"/>
  <c r="G21" i="91"/>
  <c r="F21" i="91"/>
  <c r="E21" i="91"/>
  <c r="D21" i="91"/>
  <c r="C21" i="91"/>
  <c r="G14" i="76" l="1"/>
  <c r="G15" i="76"/>
  <c r="G16" i="76"/>
  <c r="F16" i="76"/>
  <c r="F15" i="76"/>
  <c r="F14" i="76"/>
  <c r="F9" i="76"/>
  <c r="F10" i="76"/>
  <c r="F12" i="76"/>
  <c r="F13" i="76"/>
  <c r="F11" i="76" l="1"/>
  <c r="F17" i="76" s="1"/>
  <c r="O87" i="88"/>
  <c r="N87" i="88"/>
  <c r="M87" i="88"/>
  <c r="L87" i="88"/>
  <c r="K87" i="88"/>
  <c r="J87" i="88"/>
  <c r="I87" i="88"/>
  <c r="H87" i="88"/>
  <c r="G87" i="88"/>
  <c r="F87" i="88"/>
  <c r="E87" i="88"/>
  <c r="D87" i="88"/>
  <c r="C87" i="88"/>
  <c r="C13" i="91" l="1"/>
  <c r="C12" i="91"/>
  <c r="G13" i="76"/>
  <c r="G12" i="76"/>
  <c r="G10" i="76"/>
  <c r="G9" i="76"/>
  <c r="C81" i="88"/>
  <c r="D81" i="88"/>
  <c r="E81" i="88"/>
  <c r="F81" i="88"/>
  <c r="G81" i="88"/>
  <c r="H81" i="88"/>
  <c r="I81" i="88"/>
  <c r="J81" i="88"/>
  <c r="K81" i="88"/>
  <c r="L81" i="88"/>
  <c r="M81" i="88"/>
  <c r="N81" i="88"/>
  <c r="O81" i="88"/>
  <c r="C82" i="88"/>
  <c r="D82" i="88"/>
  <c r="E82" i="88"/>
  <c r="F82" i="88"/>
  <c r="G82" i="88"/>
  <c r="H82" i="88"/>
  <c r="I82" i="88"/>
  <c r="J82" i="88"/>
  <c r="K82" i="88"/>
  <c r="L82" i="88"/>
  <c r="M82" i="88"/>
  <c r="N82" i="88"/>
  <c r="C83" i="88"/>
  <c r="D83" i="88"/>
  <c r="E83" i="88"/>
  <c r="F83" i="88"/>
  <c r="G83" i="88"/>
  <c r="H83" i="88"/>
  <c r="I83" i="88"/>
  <c r="J83" i="88"/>
  <c r="K83" i="88"/>
  <c r="L83" i="88"/>
  <c r="M83" i="88"/>
  <c r="N83" i="88"/>
  <c r="C84" i="88"/>
  <c r="D84" i="88"/>
  <c r="E84" i="88"/>
  <c r="F84" i="88"/>
  <c r="G84" i="88"/>
  <c r="H84" i="88"/>
  <c r="I84" i="88"/>
  <c r="J84" i="88"/>
  <c r="K84" i="88"/>
  <c r="L84" i="88"/>
  <c r="M84" i="88"/>
  <c r="N84" i="88"/>
  <c r="O84" i="88"/>
  <c r="C85" i="88"/>
  <c r="D85" i="88"/>
  <c r="E85" i="88"/>
  <c r="F85" i="88"/>
  <c r="G85" i="88"/>
  <c r="H85" i="88"/>
  <c r="I85" i="88"/>
  <c r="J85" i="88"/>
  <c r="K85" i="88"/>
  <c r="L85" i="88"/>
  <c r="M85" i="88"/>
  <c r="N85" i="88"/>
  <c r="O85" i="88"/>
  <c r="D86" i="88"/>
  <c r="E86" i="88"/>
  <c r="F86" i="88"/>
  <c r="G86" i="88"/>
  <c r="H86" i="88"/>
  <c r="I86" i="88"/>
  <c r="J86" i="88"/>
  <c r="K86" i="88"/>
  <c r="L86" i="88"/>
  <c r="M86" i="88"/>
  <c r="N86" i="88"/>
  <c r="O86" i="88"/>
  <c r="C88" i="88"/>
  <c r="D88" i="88"/>
  <c r="E88" i="88"/>
  <c r="F88" i="88"/>
  <c r="G88" i="88"/>
  <c r="H88" i="88"/>
  <c r="I88" i="88"/>
  <c r="J88" i="88"/>
  <c r="K88" i="88"/>
  <c r="L88" i="88"/>
  <c r="M88" i="88"/>
  <c r="N88" i="88"/>
  <c r="O88" i="88"/>
  <c r="C78" i="88"/>
  <c r="D78" i="88"/>
  <c r="F78" i="88"/>
  <c r="G78" i="88"/>
  <c r="I78" i="88"/>
  <c r="L78" i="88"/>
  <c r="B62" i="88"/>
  <c r="C62" i="88"/>
  <c r="D62" i="88"/>
  <c r="G62" i="88"/>
  <c r="H62" i="88"/>
  <c r="J62" i="88"/>
  <c r="B63" i="88"/>
  <c r="C63" i="88"/>
  <c r="D63" i="88"/>
  <c r="G63" i="88"/>
  <c r="H63" i="88"/>
  <c r="J63" i="88"/>
  <c r="L63" i="88"/>
  <c r="B64" i="88"/>
  <c r="C64" i="88"/>
  <c r="D64" i="88"/>
  <c r="G64" i="88"/>
  <c r="H64" i="88"/>
  <c r="J64" i="88"/>
  <c r="B65" i="88"/>
  <c r="C65" i="88"/>
  <c r="D65" i="88"/>
  <c r="G65" i="88"/>
  <c r="H65" i="88"/>
  <c r="J65" i="88"/>
  <c r="B66" i="88"/>
  <c r="C66" i="88"/>
  <c r="D66" i="88"/>
  <c r="G66" i="88"/>
  <c r="H66" i="88"/>
  <c r="J66" i="88"/>
  <c r="B67" i="88"/>
  <c r="C67" i="88"/>
  <c r="D67" i="88"/>
  <c r="G67" i="88"/>
  <c r="H67" i="88"/>
  <c r="J67" i="88"/>
  <c r="B68" i="88"/>
  <c r="C68" i="88"/>
  <c r="D68" i="88"/>
  <c r="G68" i="88"/>
  <c r="H68" i="88"/>
  <c r="J68" i="88"/>
  <c r="B69" i="88"/>
  <c r="C69" i="88"/>
  <c r="D69" i="88"/>
  <c r="G69" i="88"/>
  <c r="H69" i="88"/>
  <c r="J69" i="88"/>
  <c r="B70" i="88"/>
  <c r="C70" i="88"/>
  <c r="D70" i="88"/>
  <c r="G70" i="88"/>
  <c r="H70" i="88"/>
  <c r="J70" i="88"/>
  <c r="B71" i="88"/>
  <c r="C71" i="88"/>
  <c r="D71" i="88"/>
  <c r="G71" i="88"/>
  <c r="H71" i="88"/>
  <c r="J71" i="88"/>
  <c r="B72" i="88"/>
  <c r="C72" i="88"/>
  <c r="D72" i="88"/>
  <c r="G72" i="88"/>
  <c r="H72" i="88"/>
  <c r="J72" i="88"/>
  <c r="B73" i="88"/>
  <c r="C73" i="88"/>
  <c r="D73" i="88"/>
  <c r="G73" i="88"/>
  <c r="H73" i="88"/>
  <c r="J73" i="88"/>
  <c r="B74" i="88"/>
  <c r="C74" i="88"/>
  <c r="D74" i="88"/>
  <c r="G74" i="88"/>
  <c r="H74" i="88"/>
  <c r="J74" i="88"/>
  <c r="D89" i="88" l="1"/>
  <c r="E65" i="88"/>
  <c r="E62" i="88"/>
  <c r="L89" i="88"/>
  <c r="H89" i="88"/>
  <c r="E73" i="88"/>
  <c r="E69" i="88"/>
  <c r="E67" i="88"/>
  <c r="E78" i="88"/>
  <c r="E63" i="88"/>
  <c r="E72" i="88"/>
  <c r="E70" i="88"/>
  <c r="E64" i="88"/>
  <c r="M89" i="88"/>
  <c r="I89" i="88"/>
  <c r="E89" i="88"/>
  <c r="N89" i="88"/>
  <c r="J89" i="88"/>
  <c r="F89" i="88"/>
  <c r="O89" i="88"/>
  <c r="K89" i="88"/>
  <c r="G89" i="88"/>
  <c r="C89" i="88"/>
  <c r="E74" i="88"/>
  <c r="E71" i="88"/>
  <c r="E66" i="88"/>
  <c r="E68" i="88"/>
  <c r="M78" i="88" l="1"/>
  <c r="F11" i="3" l="1"/>
  <c r="F15" i="3"/>
  <c r="F19" i="3"/>
  <c r="F9" i="3"/>
  <c r="F21" i="3"/>
  <c r="F20" i="3"/>
  <c r="F18" i="3"/>
  <c r="F17" i="3"/>
  <c r="F16" i="3"/>
  <c r="F14" i="3"/>
  <c r="F13" i="3"/>
  <c r="F12" i="3"/>
  <c r="F10" i="3"/>
  <c r="G11" i="76" l="1"/>
  <c r="G17" i="76" s="1"/>
  <c r="F62" i="88" l="1"/>
  <c r="K62" i="88" s="1"/>
  <c r="F63" i="88"/>
  <c r="K63" i="88" s="1"/>
  <c r="F64" i="88"/>
  <c r="K64" i="88" s="1"/>
  <c r="F65" i="88"/>
  <c r="K65" i="88" s="1"/>
  <c r="F66" i="88"/>
  <c r="K66" i="88" s="1"/>
  <c r="F67" i="88"/>
  <c r="K67" i="88" s="1"/>
  <c r="F68" i="88"/>
  <c r="K68" i="88" s="1"/>
  <c r="F69" i="88"/>
  <c r="K69" i="88" s="1"/>
  <c r="F70" i="88"/>
  <c r="K70" i="88" s="1"/>
  <c r="F71" i="88"/>
  <c r="K71" i="88" s="1"/>
  <c r="F72" i="88"/>
  <c r="K72" i="88" s="1"/>
  <c r="F73" i="88"/>
  <c r="K73" i="88" s="1"/>
  <c r="I72" i="88" l="1"/>
  <c r="I64" i="88"/>
  <c r="I67" i="88"/>
  <c r="I73" i="88"/>
  <c r="I69" i="88"/>
  <c r="I65" i="88"/>
  <c r="I68" i="88"/>
  <c r="I71" i="88"/>
  <c r="I63" i="88"/>
  <c r="I70" i="88"/>
  <c r="I66" i="88"/>
  <c r="I62" i="88"/>
  <c r="F74" i="88"/>
  <c r="K74" i="88" s="1"/>
  <c r="I74" i="88" l="1"/>
</calcChain>
</file>

<file path=xl/sharedStrings.xml><?xml version="1.0" encoding="utf-8"?>
<sst xmlns="http://schemas.openxmlformats.org/spreadsheetml/2006/main" count="940" uniqueCount="250">
  <si>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</si>
  <si>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</si>
  <si>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</si>
  <si>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</si>
  <si>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</si>
  <si>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</si>
  <si>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</si>
  <si>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</si>
  <si>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</si>
  <si>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</si>
  <si>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</si>
  <si>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</si>
  <si>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</si>
  <si>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</si>
  <si>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</si>
  <si>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Precio medio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</si>
  <si>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</si>
  <si>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</si>
  <si>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</si>
  <si>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</si>
  <si>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</si>
  <si>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</si>
  <si>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</si>
  <si>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</si>
  <si>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</si>
  <si>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</si>
  <si>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</si>
  <si>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</si>
  <si>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</si>
  <si>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</si>
  <si>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Mercados Diario e Intradiario 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</si>
  <si>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</si>
  <si>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</si>
  <si>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</si>
  <si>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</si>
  <si>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</si>
  <si>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</si>
  <si>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</si>
  <si>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</si>
  <si>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</si>
  <si>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</si>
  <si>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</si>
  <si>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Excedentes desvíos</t>
  </si>
  <si>
    <t>Fecha</t>
  </si>
  <si>
    <t>Solución de restricciones técnicas (Fase I)</t>
  </si>
  <si>
    <t>Otros procesos OS</t>
  </si>
  <si>
    <t>Banda de precios</t>
  </si>
  <si>
    <t>Precio máximo</t>
  </si>
  <si>
    <t>Precio mínimo</t>
  </si>
  <si>
    <t>Valores extremos y medio del precio del mercado diario</t>
  </si>
  <si>
    <t>Bombeo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</si>
  <si>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</si>
  <si>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</si>
  <si>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</si>
  <si>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</si>
  <si>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</si>
  <si>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</si>
  <si>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</si>
  <si>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</si>
  <si>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</si>
  <si>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</si>
  <si>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Total Servicios ajustes</t>
  </si>
  <si>
    <t>Energía gestionada en los servicios de ajustes</t>
  </si>
  <si>
    <t>(GWh)</t>
  </si>
  <si>
    <t xml:space="preserve">  Restricciones técnicas al PDBF</t>
  </si>
  <si>
    <t xml:space="preserve">  Restricciones técnicas en tiempo real</t>
  </si>
  <si>
    <t>Energía limitada por restricciones (MWh)</t>
  </si>
  <si>
    <t>BANDA SUBIR</t>
  </si>
  <si>
    <t>(GW y €/MW)</t>
  </si>
  <si>
    <t>energia bajar</t>
  </si>
  <si>
    <t>energia subir</t>
  </si>
  <si>
    <t>precio medio subir</t>
  </si>
  <si>
    <t>precio medio bajar</t>
  </si>
  <si>
    <t>energía subir</t>
  </si>
  <si>
    <t>energía bajar</t>
  </si>
  <si>
    <t>volumen energía</t>
  </si>
  <si>
    <t>Volumen energía</t>
  </si>
  <si>
    <t>Volumen de energía</t>
  </si>
  <si>
    <t>energía subir fase i</t>
  </si>
  <si>
    <t>Energía bajar fase i</t>
  </si>
  <si>
    <t>Volumen energia</t>
  </si>
  <si>
    <t>Precio medio subir</t>
  </si>
  <si>
    <t>Precio medio bajar</t>
  </si>
  <si>
    <t>Variación repercusion</t>
  </si>
  <si>
    <t>SA sobre mes año anterior</t>
  </si>
  <si>
    <t>variaciones</t>
  </si>
  <si>
    <t>Variaciones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</si>
  <si>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</si>
  <si>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</si>
  <si>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</si>
  <si>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</si>
  <si>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d</t>
  </si>
  <si>
    <t>e</t>
  </si>
  <si>
    <t>f</t>
  </si>
  <si>
    <t>m</t>
  </si>
  <si>
    <t>a</t>
  </si>
  <si>
    <t>j</t>
  </si>
  <si>
    <t>s</t>
  </si>
  <si>
    <t>o</t>
  </si>
  <si>
    <t>n</t>
  </si>
  <si>
    <t>Coste medio de la energía de comercializadores y consumidores directos</t>
  </si>
  <si>
    <t>Mes_ind ID</t>
  </si>
  <si>
    <t>Mes ID</t>
  </si>
  <si>
    <t>2016 Diciembre</t>
  </si>
  <si>
    <t>Concepto DESC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</si>
  <si>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</si>
  <si>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</si>
  <si>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</si>
  <si>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</si>
  <si>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</si>
  <si>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</si>
  <si>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</si>
  <si>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</si>
  <si>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</si>
  <si>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</si>
  <si>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</si>
  <si>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</si>
  <si>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</si>
  <si>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</si>
  <si>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</si>
  <si>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</si>
  <si>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Mes DESC</t>
  </si>
  <si>
    <t>Importe (EUR) Obligaciones de pago</t>
  </si>
  <si>
    <t>Importe (EUR) Saldo</t>
  </si>
  <si>
    <t>Energía Programada (MWh)</t>
  </si>
  <si>
    <t>Sentido Sentido</t>
  </si>
  <si>
    <t>Combustible DESC</t>
  </si>
  <si>
    <t>Energia (MWh) a subir</t>
  </si>
  <si>
    <t>Energia (MWh) a bajar</t>
  </si>
  <si>
    <t>Precio ( €/MWh)</t>
  </si>
  <si>
    <t>Año ID</t>
  </si>
  <si>
    <t>Energía Asignada (MWh) - Mercado de Terciaria</t>
  </si>
  <si>
    <t>Valor periodo</t>
  </si>
  <si>
    <t>Reserva Asignada (MW)</t>
  </si>
  <si>
    <t>Evolución del precio del mercado diario</t>
  </si>
  <si>
    <t>Mercado diario: participación en cada tecnología en el precio marginal (%)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</si>
  <si>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</si>
  <si>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</si>
  <si>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Regulación secundaria</t>
  </si>
  <si>
    <t>Gestión Desvios</t>
  </si>
  <si>
    <t>Mercado diario: participación de cada tecnología en el precio marginal (%)</t>
  </si>
  <si>
    <t>Precio</t>
  </si>
  <si>
    <t>M10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</si>
  <si>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</si>
  <si>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</si>
  <si>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</si>
  <si>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</si>
  <si>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</si>
  <si>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</si>
  <si>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precio medio aritmético mensual</t>
  </si>
  <si>
    <t>Solución de restricciones técnicas (Fase I) (MWh y €/MWh)</t>
  </si>
  <si>
    <t>Banda de regulación secundaria (MW y €/MW)</t>
  </si>
  <si>
    <t>Regulación terciaria (MWh y €/MWh)</t>
  </si>
  <si>
    <t>Gestión de desvíos (MWh y €/MWh)</t>
  </si>
  <si>
    <t>Restricciones técnicas en tiempo real (MWh y €/MWh)</t>
  </si>
  <si>
    <t>Reserva adicional a subir (MW y €/MW)</t>
  </si>
  <si>
    <t>A subir</t>
  </si>
  <si>
    <t>∆2017/2016</t>
  </si>
  <si>
    <t>Regulación secundaria utilizada (MWh y €/MW)</t>
  </si>
  <si>
    <t>Subir</t>
  </si>
  <si>
    <t>Bajar</t>
  </si>
  <si>
    <t>01/05/2017</t>
  </si>
  <si>
    <t>02/05/2017</t>
  </si>
  <si>
    <t>03/05/2017</t>
  </si>
  <si>
    <t>04/05/2017</t>
  </si>
  <si>
    <t>05/05/2017</t>
  </si>
  <si>
    <t>06/05/2017</t>
  </si>
  <si>
    <t>07/05/2017</t>
  </si>
  <si>
    <t>08/05/2017</t>
  </si>
  <si>
    <t>09/05/2017</t>
  </si>
  <si>
    <t>10/05/2017</t>
  </si>
  <si>
    <t>11/05/2017</t>
  </si>
  <si>
    <t>12/05/2017</t>
  </si>
  <si>
    <t>13/05/2017</t>
  </si>
  <si>
    <t>14/05/2017</t>
  </si>
  <si>
    <t>15/05/2017</t>
  </si>
  <si>
    <t>16/05/2017</t>
  </si>
  <si>
    <t>17/05/2017</t>
  </si>
  <si>
    <t>18/05/2017</t>
  </si>
  <si>
    <t>19/05/2017</t>
  </si>
  <si>
    <t>20/05/2017</t>
  </si>
  <si>
    <t>21/05/2017</t>
  </si>
  <si>
    <t>22/05/2017</t>
  </si>
  <si>
    <t>23/05/2017</t>
  </si>
  <si>
    <t>24/05/2017</t>
  </si>
  <si>
    <t>25/05/2017</t>
  </si>
  <si>
    <t>26/05/2017</t>
  </si>
  <si>
    <t>27/05/2017</t>
  </si>
  <si>
    <t>28/05/2017</t>
  </si>
  <si>
    <t>29/05/2017</t>
  </si>
  <si>
    <t>30/05/2017</t>
  </si>
  <si>
    <t>31/05/2017</t>
  </si>
  <si>
    <t>Promedio</t>
  </si>
  <si>
    <t>-</t>
  </si>
  <si>
    <t>Mayo 2017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</si>
  <si>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</si>
  <si>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</si>
  <si>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</si>
  <si>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</si>
  <si>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</si>
  <si>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</si>
  <si>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</si>
  <si>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</si>
  <si>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ENE-17</t>
  </si>
  <si>
    <t>FEB-17</t>
  </si>
  <si>
    <t>MAR-17</t>
  </si>
  <si>
    <t>ABR-17</t>
  </si>
  <si>
    <t>MAY-17</t>
  </si>
  <si>
    <t>2016 Mayo</t>
  </si>
  <si>
    <t>2016 Junio</t>
  </si>
  <si>
    <t>2016 Julio</t>
  </si>
  <si>
    <t>2016 Agosto</t>
  </si>
  <si>
    <t>2016 Septiembre</t>
  </si>
  <si>
    <t>2016 Octubre</t>
  </si>
  <si>
    <t>2016 Noviembre</t>
  </si>
  <si>
    <t>2017 Enero</t>
  </si>
  <si>
    <t>2017 Febrero</t>
  </si>
  <si>
    <t>2017 Marzo</t>
  </si>
  <si>
    <t>2017 Abril</t>
  </si>
  <si>
    <t>2017 Mayo</t>
  </si>
  <si>
    <t>Segmento Seg_desc_corta</t>
  </si>
  <si>
    <t>Restricciones PBF - Coste</t>
  </si>
  <si>
    <t>Reserva subir - Coste</t>
  </si>
  <si>
    <t>Banda secundaria - CF</t>
  </si>
  <si>
    <t>Restricciones tiempo real (SC)</t>
  </si>
  <si>
    <t>Enlace balear RP48</t>
  </si>
  <si>
    <t>Gestión de desvíos y terciaria (I)</t>
  </si>
  <si>
    <t>Servicios transfronterizos balance</t>
  </si>
  <si>
    <t>Acciones de balance</t>
  </si>
  <si>
    <t>Desvío entre sistemas</t>
  </si>
  <si>
    <t>Mayo 2016</t>
  </si>
  <si>
    <t>Restricciones Técnicas al PBF</t>
  </si>
  <si>
    <t>Restric. en Tiempo Real</t>
  </si>
  <si>
    <t>Mayo</t>
  </si>
  <si>
    <t>Nuclear</t>
  </si>
  <si>
    <t>Carbón</t>
  </si>
  <si>
    <t>Consumo Bombeo</t>
  </si>
  <si>
    <t>Turbinación bombeo</t>
  </si>
  <si>
    <t>Eólica</t>
  </si>
  <si>
    <t>Solar fotovoltaica</t>
  </si>
  <si>
    <t>Solar térmica</t>
  </si>
  <si>
    <t>Cogeneración</t>
  </si>
  <si>
    <t>Energía a subir</t>
  </si>
  <si>
    <t>Energía a bajar</t>
  </si>
  <si>
    <t>Adquisición de Energía</t>
  </si>
  <si>
    <t>Enlace Península Baleares</t>
  </si>
  <si>
    <t>Fuel-Gas</t>
  </si>
  <si>
    <t>Internacionales</t>
  </si>
  <si>
    <t>Otras Renovables</t>
  </si>
  <si>
    <t>Residuos no Renovables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</si>
</sst>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</numFmts>
  <fonts count="55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F5F5F5"/>
        <bgColor rgb="FFFFFFFF"/>
      </patternFill>
    </fill>
  </fills>
  <borders count="13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rgb="FFC0C0C0"/>
      </top>
      <bottom/>
      <diagonal/>
    </border>
  </borders>
  <cellStyleXfs count="34">
    <xf numFmtId="0" fontId="0" fillId="0" borderId="0"/>
    <xf numFmtId="167" fontId="4" fillId="0" borderId="0" applyFont="0" applyFill="0" applyBorder="0" applyAlignment="0" applyProtection="0"/>
    <xf numFmtId="0" fontId="5" fillId="0" borderId="0"/>
    <xf numFmtId="4" fontId="17" fillId="2" borderId="2">
      <alignment horizontal="right" vertical="center"/>
    </xf>
    <xf numFmtId="0" fontId="6" fillId="0" borderId="0"/>
    <xf numFmtId="0" fontId="6" fillId="0" borderId="0"/>
    <xf numFmtId="0" fontId="16" fillId="0" borderId="0"/>
    <xf numFmtId="0" fontId="16" fillId="0" borderId="0"/>
    <xf numFmtId="0" fontId="14" fillId="0" borderId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/>
    <xf numFmtId="9" fontId="27" fillId="0" borderId="0" applyFont="0" applyFill="0" applyBorder="0" applyAlignment="0" applyProtection="0"/>
    <xf numFmtId="0" fontId="29" fillId="0" borderId="0"/>
    <xf numFmtId="0" fontId="32" fillId="0" borderId="0"/>
    <xf numFmtId="0" fontId="18" fillId="3" borderId="2">
      <alignment vertical="center" wrapText="1"/>
    </xf>
    <xf numFmtId="0" fontId="18" fillId="3" borderId="2">
      <alignment horizontal="center" wrapText="1"/>
    </xf>
    <xf numFmtId="0" fontId="3" fillId="0" borderId="0"/>
    <xf numFmtId="0" fontId="17" fillId="2" borderId="2">
      <alignment horizontal="left" vertical="center" wrapText="1"/>
    </xf>
    <xf numFmtId="3" fontId="17" fillId="2" borderId="2">
      <alignment horizontal="right" vertical="center"/>
    </xf>
    <xf numFmtId="9" fontId="3" fillId="0" borderId="0" applyFont="0" applyFill="0" applyBorder="0" applyAlignment="0" applyProtection="0"/>
    <xf numFmtId="164" fontId="17" fillId="2" borderId="2">
      <alignment horizontal="right" vertical="center"/>
    </xf>
    <xf numFmtId="164" fontId="39" fillId="7" borderId="2">
      <alignment horizontal="right" vertical="center"/>
    </xf>
    <xf numFmtId="0" fontId="2" fillId="0" borderId="0"/>
    <xf numFmtId="9" fontId="2" fillId="0" borderId="0" applyFont="0" applyFill="0" applyBorder="0" applyAlignment="0" applyProtection="0"/>
    <xf numFmtId="0" fontId="18" fillId="3" borderId="2">
      <alignment horizontal="center" wrapText="1"/>
    </xf>
    <xf numFmtId="0" fontId="17" fillId="2" borderId="2">
      <alignment horizontal="left" vertical="center" wrapText="1"/>
    </xf>
    <xf numFmtId="169" fontId="39" fillId="7" borderId="2">
      <alignment horizontal="left" vertical="center"/>
    </xf>
    <xf numFmtId="0" fontId="15" fillId="0" borderId="0"/>
    <xf numFmtId="0" fontId="6" fillId="0" borderId="0"/>
    <xf numFmtId="0" fontId="53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0" fillId="0" borderId="0" xfId="0" applyFill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Protection="1"/>
    <xf numFmtId="0" fontId="0" fillId="0" borderId="0" xfId="0" applyFill="1" applyBorder="1" applyProtection="1"/>
    <xf numFmtId="164" fontId="10" fillId="0" borderId="0" xfId="0" applyNumberFormat="1" applyFont="1" applyFill="1" applyBorder="1" applyAlignment="1" applyProtection="1">
      <alignment wrapText="1"/>
    </xf>
    <xf numFmtId="0" fontId="11" fillId="5" borderId="0" xfId="0" applyFont="1" applyFill="1" applyBorder="1" applyAlignment="1" applyProtection="1">
      <alignment horizontal="left" indent="1"/>
    </xf>
    <xf numFmtId="0" fontId="9" fillId="0" borderId="0" xfId="8" applyFont="1" applyFill="1" applyAlignment="1" applyProtection="1"/>
    <xf numFmtId="0" fontId="9" fillId="0" borderId="0" xfId="0" applyFont="1" applyFill="1" applyAlignment="1" applyProtection="1"/>
    <xf numFmtId="0" fontId="10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2" fillId="5" borderId="6" xfId="0" applyFont="1" applyFill="1" applyBorder="1"/>
    <xf numFmtId="0" fontId="23" fillId="5" borderId="5" xfId="0" applyFont="1" applyFill="1" applyBorder="1"/>
    <xf numFmtId="49" fontId="21" fillId="5" borderId="0" xfId="0" applyNumberFormat="1" applyFont="1" applyFill="1"/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9" fillId="0" borderId="0" xfId="8" applyFont="1" applyFill="1" applyAlignment="1" applyProtection="1">
      <alignment horizontal="left"/>
    </xf>
    <xf numFmtId="0" fontId="6" fillId="0" borderId="0" xfId="4"/>
    <xf numFmtId="0" fontId="7" fillId="0" borderId="0" xfId="4" applyFont="1" applyAlignment="1">
      <alignment horizontal="center" wrapText="1"/>
    </xf>
    <xf numFmtId="0" fontId="24" fillId="0" borderId="0" xfId="4" applyFont="1"/>
    <xf numFmtId="2" fontId="7" fillId="4" borderId="0" xfId="4" applyNumberFormat="1" applyFont="1" applyFill="1"/>
    <xf numFmtId="166" fontId="7" fillId="4" borderId="0" xfId="4" applyNumberFormat="1" applyFont="1" applyFill="1"/>
    <xf numFmtId="0" fontId="6" fillId="4" borderId="0" xfId="4" applyFill="1"/>
    <xf numFmtId="0" fontId="25" fillId="4" borderId="0" xfId="4" applyFont="1" applyFill="1" applyAlignment="1">
      <alignment horizontal="right" wrapText="1"/>
    </xf>
    <xf numFmtId="0" fontId="6" fillId="0" borderId="0" xfId="4" applyAlignment="1">
      <alignment vertical="center" wrapText="1"/>
    </xf>
    <xf numFmtId="0" fontId="6" fillId="0" borderId="0" xfId="11"/>
    <xf numFmtId="166" fontId="6" fillId="0" borderId="0" xfId="11" applyNumberFormat="1"/>
    <xf numFmtId="4" fontId="26" fillId="0" borderId="0" xfId="11" applyNumberFormat="1" applyFont="1"/>
    <xf numFmtId="0" fontId="6" fillId="0" borderId="0" xfId="11" applyFont="1"/>
    <xf numFmtId="0" fontId="6" fillId="0" borderId="0" xfId="12"/>
    <xf numFmtId="165" fontId="6" fillId="0" borderId="0" xfId="11" applyNumberFormat="1"/>
    <xf numFmtId="165" fontId="6" fillId="0" borderId="0" xfId="12" applyNumberFormat="1"/>
    <xf numFmtId="2" fontId="6" fillId="0" borderId="0" xfId="11" applyNumberFormat="1"/>
    <xf numFmtId="4" fontId="6" fillId="0" borderId="0" xfId="11" applyNumberFormat="1"/>
    <xf numFmtId="3" fontId="6" fillId="0" borderId="0" xfId="11" applyNumberFormat="1"/>
    <xf numFmtId="3" fontId="6" fillId="0" borderId="0" xfId="4" applyNumberFormat="1"/>
    <xf numFmtId="164" fontId="20" fillId="0" borderId="0" xfId="0" applyNumberFormat="1" applyFont="1" applyFill="1" applyBorder="1" applyAlignment="1" applyProtection="1">
      <alignment wrapText="1"/>
    </xf>
    <xf numFmtId="3" fontId="8" fillId="6" borderId="0" xfId="0" applyNumberFormat="1" applyFont="1" applyFill="1" applyBorder="1" applyAlignment="1"/>
    <xf numFmtId="0" fontId="30" fillId="0" borderId="0" xfId="16" applyFont="1" applyAlignment="1">
      <alignment horizontal="center"/>
    </xf>
    <xf numFmtId="0" fontId="30" fillId="0" borderId="0" xfId="16" applyFont="1"/>
    <xf numFmtId="1" fontId="30" fillId="0" borderId="0" xfId="16" applyNumberFormat="1" applyFont="1"/>
    <xf numFmtId="165" fontId="30" fillId="0" borderId="0" xfId="16" applyNumberFormat="1" applyFont="1"/>
    <xf numFmtId="165" fontId="31" fillId="0" borderId="0" xfId="16" applyNumberFormat="1" applyFont="1"/>
    <xf numFmtId="2" fontId="30" fillId="0" borderId="0" xfId="16" applyNumberFormat="1" applyFont="1"/>
    <xf numFmtId="0" fontId="32" fillId="0" borderId="0" xfId="17"/>
    <xf numFmtId="0" fontId="30" fillId="0" borderId="0" xfId="16" applyFont="1" applyFill="1"/>
    <xf numFmtId="0" fontId="30" fillId="0" borderId="0" xfId="16" applyFont="1" applyBorder="1"/>
    <xf numFmtId="0" fontId="10" fillId="0" borderId="0" xfId="0" applyFont="1" applyAlignment="1">
      <alignment vertical="top" wrapText="1"/>
    </xf>
    <xf numFmtId="0" fontId="20" fillId="0" borderId="0" xfId="0" applyFont="1"/>
    <xf numFmtId="166" fontId="21" fillId="5" borderId="0" xfId="0" applyNumberFormat="1" applyFont="1" applyFill="1" applyBorder="1" applyAlignment="1" applyProtection="1">
      <alignment horizontal="right" vertical="center"/>
    </xf>
    <xf numFmtId="166" fontId="21" fillId="5" borderId="0" xfId="0" applyNumberFormat="1" applyFont="1" applyFill="1" applyBorder="1" applyAlignment="1" applyProtection="1">
      <alignment horizontal="right"/>
    </xf>
    <xf numFmtId="49" fontId="21" fillId="5" borderId="5" xfId="0" applyNumberFormat="1" applyFont="1" applyFill="1" applyBorder="1"/>
    <xf numFmtId="166" fontId="21" fillId="5" borderId="5" xfId="0" applyNumberFormat="1" applyFont="1" applyFill="1" applyBorder="1" applyAlignment="1" applyProtection="1">
      <alignment horizontal="right" vertical="center"/>
    </xf>
    <xf numFmtId="166" fontId="21" fillId="5" borderId="5" xfId="0" applyNumberFormat="1" applyFont="1" applyFill="1" applyBorder="1" applyAlignment="1" applyProtection="1">
      <alignment horizontal="right"/>
    </xf>
    <xf numFmtId="166" fontId="21" fillId="5" borderId="0" xfId="0" applyNumberFormat="1" applyFont="1" applyFill="1"/>
    <xf numFmtId="166" fontId="21" fillId="5" borderId="5" xfId="0" applyNumberFormat="1" applyFont="1" applyFill="1" applyBorder="1"/>
    <xf numFmtId="164" fontId="20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3" fillId="0" borderId="0" xfId="0" applyFont="1" applyFill="1" applyBorder="1" applyProtection="1"/>
    <xf numFmtId="4" fontId="4" fillId="0" borderId="0" xfId="0" applyNumberFormat="1" applyFont="1" applyFill="1" applyBorder="1" applyProtection="1"/>
    <xf numFmtId="0" fontId="10" fillId="5" borderId="9" xfId="0" applyFont="1" applyFill="1" applyBorder="1" applyAlignment="1" applyProtection="1">
      <alignment horizontal="left" vertical="center" indent="1"/>
    </xf>
    <xf numFmtId="0" fontId="36" fillId="5" borderId="0" xfId="20" applyFont="1" applyFill="1" applyBorder="1"/>
    <xf numFmtId="0" fontId="37" fillId="5" borderId="9" xfId="20" applyFont="1" applyFill="1" applyBorder="1"/>
    <xf numFmtId="0" fontId="12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0" fontId="34" fillId="0" borderId="0" xfId="20" applyFont="1" applyBorder="1" applyAlignment="1">
      <alignment wrapText="1"/>
    </xf>
    <xf numFmtId="0" fontId="11" fillId="0" borderId="0" xfId="0" applyFont="1" applyFill="1" applyBorder="1" applyAlignment="1" applyProtection="1">
      <alignment wrapText="1"/>
    </xf>
    <xf numFmtId="0" fontId="35" fillId="5" borderId="8" xfId="20" applyFont="1" applyFill="1" applyBorder="1" applyAlignment="1">
      <alignment wrapText="1"/>
    </xf>
    <xf numFmtId="17" fontId="37" fillId="5" borderId="8" xfId="20" quotePrefix="1" applyNumberFormat="1" applyFont="1" applyFill="1" applyBorder="1" applyAlignment="1">
      <alignment horizontal="right" wrapText="1"/>
    </xf>
    <xf numFmtId="0" fontId="38" fillId="5" borderId="9" xfId="0" applyFont="1" applyFill="1" applyBorder="1" applyAlignment="1" applyProtection="1">
      <alignment horizontal="left" vertical="center"/>
    </xf>
    <xf numFmtId="168" fontId="38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19" fillId="0" borderId="0" xfId="11" applyFont="1" applyFill="1"/>
    <xf numFmtId="0" fontId="2" fillId="0" borderId="0" xfId="26"/>
    <xf numFmtId="4" fontId="2" fillId="0" borderId="0" xfId="26" applyNumberFormat="1"/>
    <xf numFmtId="168" fontId="6" fillId="0" borderId="0" xfId="9" applyNumberFormat="1" applyFont="1"/>
    <xf numFmtId="0" fontId="40" fillId="0" borderId="0" xfId="11" applyFont="1"/>
    <xf numFmtId="0" fontId="41" fillId="0" borderId="0" xfId="11" applyFont="1"/>
    <xf numFmtId="0" fontId="2" fillId="0" borderId="0" xfId="26" applyFill="1"/>
    <xf numFmtId="168" fontId="0" fillId="0" borderId="0" xfId="27" applyNumberFormat="1" applyFont="1" applyFill="1"/>
    <xf numFmtId="164" fontId="21" fillId="5" borderId="0" xfId="0" applyNumberFormat="1" applyFont="1" applyFill="1" applyBorder="1" applyAlignment="1" applyProtection="1">
      <alignment horizontal="right" vertical="center"/>
    </xf>
    <xf numFmtId="0" fontId="42" fillId="0" borderId="0" xfId="0" applyFont="1" applyFill="1" applyProtection="1"/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1" fillId="0" borderId="0" xfId="26" applyFont="1"/>
    <xf numFmtId="0" fontId="34" fillId="0" borderId="0" xfId="20" applyFont="1" applyBorder="1" applyAlignment="1">
      <alignment horizontal="center" wrapText="1"/>
    </xf>
    <xf numFmtId="0" fontId="11" fillId="0" borderId="0" xfId="0" quotePrefix="1" applyFont="1" applyFill="1" applyBorder="1" applyProtection="1"/>
    <xf numFmtId="0" fontId="43" fillId="0" borderId="0" xfId="0" applyFont="1" applyFill="1" applyBorder="1" applyProtection="1"/>
    <xf numFmtId="0" fontId="44" fillId="0" borderId="0" xfId="0" applyFont="1" applyFill="1" applyBorder="1" applyAlignment="1" applyProtection="1">
      <alignment horizontal="left" vertical="center" indent="1"/>
    </xf>
    <xf numFmtId="0" fontId="43" fillId="0" borderId="0" xfId="0" applyFont="1" applyFill="1" applyBorder="1" applyAlignment="1" applyProtection="1">
      <alignment horizontal="left" indent="1"/>
    </xf>
    <xf numFmtId="0" fontId="43" fillId="5" borderId="0" xfId="0" applyFont="1" applyFill="1" applyBorder="1" applyAlignment="1" applyProtection="1">
      <alignment horizontal="left" indent="1"/>
    </xf>
    <xf numFmtId="17" fontId="9" fillId="0" borderId="0" xfId="0" applyNumberFormat="1" applyFont="1" applyFill="1" applyAlignment="1" applyProtection="1">
      <alignment horizontal="right"/>
    </xf>
    <xf numFmtId="165" fontId="45" fillId="0" borderId="0" xfId="0" applyNumberFormat="1" applyFont="1" applyFill="1" applyBorder="1" applyProtection="1"/>
    <xf numFmtId="0" fontId="45" fillId="0" borderId="0" xfId="0" applyFont="1"/>
    <xf numFmtId="164" fontId="45" fillId="0" borderId="0" xfId="0" applyNumberFormat="1" applyFont="1"/>
    <xf numFmtId="170" fontId="45" fillId="0" borderId="0" xfId="0" applyNumberFormat="1" applyFont="1" applyFill="1" applyBorder="1" applyProtection="1"/>
    <xf numFmtId="0" fontId="21" fillId="5" borderId="10" xfId="31" applyFont="1" applyFill="1" applyBorder="1" applyProtection="1"/>
    <xf numFmtId="166" fontId="21" fillId="5" borderId="5" xfId="0" applyNumberFormat="1" applyFont="1" applyFill="1" applyBorder="1" applyAlignment="1" applyProtection="1">
      <alignment horizontal="left" vertical="center"/>
    </xf>
    <xf numFmtId="3" fontId="36" fillId="5" borderId="0" xfId="20" applyNumberFormat="1" applyFont="1" applyFill="1" applyBorder="1"/>
    <xf numFmtId="3" fontId="37" fillId="5" borderId="9" xfId="20" applyNumberFormat="1" applyFont="1" applyFill="1" applyBorder="1"/>
    <xf numFmtId="3" fontId="20" fillId="5" borderId="6" xfId="0" applyNumberFormat="1" applyFont="1" applyFill="1" applyBorder="1" applyAlignment="1">
      <alignment horizontal="right" wrapText="1"/>
    </xf>
    <xf numFmtId="164" fontId="20" fillId="0" borderId="0" xfId="0" applyNumberFormat="1" applyFont="1" applyFill="1" applyBorder="1" applyAlignment="1" applyProtection="1">
      <alignment horizontal="left"/>
    </xf>
    <xf numFmtId="0" fontId="22" fillId="0" borderId="0" xfId="0" applyFont="1"/>
    <xf numFmtId="3" fontId="20" fillId="5" borderId="1" xfId="0" applyNumberFormat="1" applyFont="1" applyFill="1" applyBorder="1" applyAlignment="1">
      <alignment horizontal="left" vertical="center"/>
    </xf>
    <xf numFmtId="164" fontId="21" fillId="5" borderId="0" xfId="0" applyNumberFormat="1" applyFont="1" applyFill="1" applyBorder="1" applyAlignment="1" applyProtection="1">
      <alignment horizontal="left" vertical="center"/>
    </xf>
    <xf numFmtId="3" fontId="21" fillId="5" borderId="0" xfId="0" applyNumberFormat="1" applyFont="1" applyFill="1" applyBorder="1" applyAlignment="1">
      <alignment horizontal="right" vertical="center"/>
    </xf>
    <xf numFmtId="164" fontId="21" fillId="5" borderId="3" xfId="0" applyNumberFormat="1" applyFont="1" applyFill="1" applyBorder="1" applyAlignment="1" applyProtection="1">
      <alignment horizontal="left" vertical="center"/>
    </xf>
    <xf numFmtId="1" fontId="21" fillId="5" borderId="3" xfId="0" applyNumberFormat="1" applyFont="1" applyFill="1" applyBorder="1" applyAlignment="1">
      <alignment horizontal="right" vertical="center"/>
    </xf>
    <xf numFmtId="0" fontId="47" fillId="0" borderId="0" xfId="12" applyFont="1"/>
    <xf numFmtId="0" fontId="47" fillId="0" borderId="0" xfId="11" applyFont="1"/>
    <xf numFmtId="168" fontId="47" fillId="0" borderId="0" xfId="9" applyNumberFormat="1" applyFont="1"/>
    <xf numFmtId="10" fontId="21" fillId="5" borderId="0" xfId="0" applyNumberFormat="1" applyFont="1" applyFill="1" applyBorder="1" applyAlignment="1">
      <alignment horizontal="right" vertical="center"/>
    </xf>
    <xf numFmtId="49" fontId="20" fillId="5" borderId="1" xfId="0" applyNumberFormat="1" applyFont="1" applyFill="1" applyBorder="1" applyAlignment="1">
      <alignment horizontal="right" vertical="center"/>
    </xf>
    <xf numFmtId="0" fontId="48" fillId="0" borderId="0" xfId="26" applyFont="1"/>
    <xf numFmtId="164" fontId="21" fillId="2" borderId="2" xfId="24" applyFont="1" applyAlignment="1">
      <alignment horizontal="right" vertical="center"/>
    </xf>
    <xf numFmtId="164" fontId="20" fillId="5" borderId="1" xfId="0" applyNumberFormat="1" applyFont="1" applyFill="1" applyBorder="1" applyAlignment="1">
      <alignment horizontal="left" vertical="center"/>
    </xf>
    <xf numFmtId="164" fontId="20" fillId="5" borderId="1" xfId="0" applyNumberFormat="1" applyFont="1" applyFill="1" applyBorder="1" applyAlignment="1">
      <alignment horizontal="right" vertical="center"/>
    </xf>
    <xf numFmtId="164" fontId="20" fillId="5" borderId="11" xfId="0" applyNumberFormat="1" applyFont="1" applyFill="1" applyBorder="1" applyAlignment="1">
      <alignment horizontal="right" vertical="center"/>
    </xf>
    <xf numFmtId="17" fontId="48" fillId="0" borderId="0" xfId="26" applyNumberFormat="1" applyFont="1"/>
    <xf numFmtId="164" fontId="48" fillId="0" borderId="0" xfId="26" applyNumberFormat="1" applyFont="1"/>
    <xf numFmtId="0" fontId="22" fillId="0" borderId="0" xfId="0" applyFont="1" applyBorder="1"/>
    <xf numFmtId="0" fontId="49" fillId="0" borderId="0" xfId="0" applyFont="1" applyFill="1" applyBorder="1" applyProtection="1"/>
    <xf numFmtId="3" fontId="21" fillId="0" borderId="0" xfId="0" applyNumberFormat="1" applyFont="1" applyFill="1" applyBorder="1" applyAlignment="1" applyProtection="1">
      <alignment horizontal="centerContinuous"/>
    </xf>
    <xf numFmtId="3" fontId="21" fillId="0" borderId="0" xfId="0" applyNumberFormat="1" applyFont="1" applyFill="1" applyBorder="1"/>
    <xf numFmtId="0" fontId="20" fillId="5" borderId="4" xfId="0" applyNumberFormat="1" applyFont="1" applyFill="1" applyBorder="1" applyAlignment="1">
      <alignment horizontal="right" vertical="center"/>
    </xf>
    <xf numFmtId="0" fontId="50" fillId="0" borderId="0" xfId="0" applyFont="1"/>
    <xf numFmtId="4" fontId="21" fillId="5" borderId="0" xfId="0" applyNumberFormat="1" applyFont="1" applyFill="1" applyBorder="1" applyAlignment="1">
      <alignment horizontal="right" vertical="center"/>
    </xf>
    <xf numFmtId="170" fontId="50" fillId="0" borderId="0" xfId="0" applyNumberFormat="1" applyFont="1" applyAlignment="1"/>
    <xf numFmtId="164" fontId="50" fillId="0" borderId="0" xfId="0" applyNumberFormat="1" applyFont="1" applyAlignment="1"/>
    <xf numFmtId="4" fontId="50" fillId="0" borderId="0" xfId="0" applyNumberFormat="1" applyFont="1" applyAlignment="1"/>
    <xf numFmtId="2" fontId="21" fillId="5" borderId="3" xfId="0" applyNumberFormat="1" applyFont="1" applyFill="1" applyBorder="1" applyAlignment="1">
      <alignment horizontal="right" vertical="center"/>
    </xf>
    <xf numFmtId="4" fontId="49" fillId="0" borderId="0" xfId="0" applyNumberFormat="1" applyFont="1" applyFill="1" applyBorder="1" applyProtection="1"/>
    <xf numFmtId="4" fontId="22" fillId="0" borderId="0" xfId="0" applyNumberFormat="1" applyFont="1" applyFill="1"/>
    <xf numFmtId="0" fontId="22" fillId="0" borderId="0" xfId="0" applyFont="1" applyFill="1"/>
    <xf numFmtId="164" fontId="21" fillId="5" borderId="3" xfId="0" applyNumberFormat="1" applyFont="1" applyFill="1" applyBorder="1" applyAlignment="1" applyProtection="1">
      <alignment horizontal="right" vertical="center"/>
    </xf>
    <xf numFmtId="164" fontId="20" fillId="5" borderId="0" xfId="0" applyNumberFormat="1" applyFont="1" applyFill="1" applyBorder="1" applyAlignment="1" applyProtection="1">
      <alignment horizontal="left" vertical="center"/>
    </xf>
    <xf numFmtId="49" fontId="20" fillId="5" borderId="1" xfId="0" applyNumberFormat="1" applyFont="1" applyFill="1" applyBorder="1" applyAlignment="1">
      <alignment horizontal="left" vertical="center"/>
    </xf>
    <xf numFmtId="4" fontId="21" fillId="5" borderId="0" xfId="0" applyNumberFormat="1" applyFont="1" applyFill="1" applyBorder="1" applyAlignment="1">
      <alignment horizontal="left" vertical="center"/>
    </xf>
    <xf numFmtId="49" fontId="21" fillId="5" borderId="3" xfId="0" applyNumberFormat="1" applyFont="1" applyFill="1" applyBorder="1" applyAlignment="1" applyProtection="1">
      <alignment horizontal="left" vertical="center"/>
    </xf>
    <xf numFmtId="4" fontId="21" fillId="5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right"/>
    </xf>
    <xf numFmtId="0" fontId="21" fillId="8" borderId="12" xfId="21" applyFont="1" applyFill="1" applyBorder="1" applyAlignment="1">
      <alignment horizontal="left" vertical="center"/>
    </xf>
    <xf numFmtId="0" fontId="21" fillId="8" borderId="7" xfId="21" applyFont="1" applyFill="1" applyBorder="1" applyAlignment="1">
      <alignment horizontal="left" vertical="center"/>
    </xf>
    <xf numFmtId="0" fontId="4" fillId="0" borderId="0" xfId="0" applyFont="1" applyFill="1" applyProtection="1"/>
    <xf numFmtId="0" fontId="9" fillId="0" borderId="0" xfId="32" applyFont="1" applyFill="1" applyAlignment="1" applyProtection="1">
      <alignment horizontal="right"/>
    </xf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right"/>
    </xf>
    <xf numFmtId="0" fontId="52" fillId="5" borderId="0" xfId="0" applyFont="1" applyFill="1" applyBorder="1" applyAlignment="1" applyProtection="1">
      <alignment horizontal="right" vertical="center"/>
    </xf>
    <xf numFmtId="0" fontId="20" fillId="5" borderId="0" xfId="33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52" fillId="5" borderId="0" xfId="0" applyFont="1" applyFill="1" applyBorder="1" applyAlignment="1" applyProtection="1">
      <alignment horizontal="right" vertical="top"/>
    </xf>
    <xf numFmtId="0" fontId="10" fillId="5" borderId="0" xfId="33" applyFont="1" applyFill="1" applyBorder="1" applyAlignment="1" applyProtection="1">
      <alignment horizontal="left"/>
    </xf>
    <xf numFmtId="0" fontId="21" fillId="0" borderId="0" xfId="0" applyFont="1" applyFill="1" applyProtection="1"/>
    <xf numFmtId="0" fontId="10" fillId="0" borderId="0" xfId="0" applyFont="1"/>
    <xf numFmtId="3" fontId="10" fillId="0" borderId="0" xfId="0" applyNumberFormat="1" applyFont="1" applyFill="1" applyBorder="1" applyAlignment="1">
      <alignment horizontal="left"/>
    </xf>
    <xf numFmtId="0" fontId="21" fillId="8" borderId="12" xfId="21" quotePrefix="1" applyFont="1" applyFill="1" applyBorder="1" applyAlignment="1">
      <alignment vertical="center"/>
    </xf>
    <xf numFmtId="2" fontId="21" fillId="5" borderId="5" xfId="0" applyNumberFormat="1" applyFont="1" applyFill="1" applyBorder="1" applyAlignment="1" applyProtection="1">
      <alignment horizontal="right" vertical="center"/>
    </xf>
    <xf numFmtId="2" fontId="21" fillId="5" borderId="10" xfId="31" applyNumberFormat="1" applyFont="1" applyFill="1" applyBorder="1" applyProtection="1"/>
    <xf numFmtId="2" fontId="21" fillId="5" borderId="0" xfId="0" applyNumberFormat="1" applyFont="1" applyFill="1" applyBorder="1" applyAlignment="1" applyProtection="1">
      <alignment horizontal="right" vertical="center"/>
    </xf>
    <xf numFmtId="2" fontId="49" fillId="0" borderId="0" xfId="0" applyNumberFormat="1" applyFont="1" applyFill="1" applyBorder="1" applyProtection="1"/>
    <xf numFmtId="0" fontId="20" fillId="4" borderId="0" xfId="31" applyFont="1" applyFill="1" applyBorder="1" applyProtection="1"/>
    <xf numFmtId="164" fontId="20" fillId="4" borderId="0" xfId="0" applyNumberFormat="1" applyFont="1" applyFill="1" applyBorder="1" applyAlignment="1" applyProtection="1">
      <alignment horizontal="left"/>
    </xf>
    <xf numFmtId="4" fontId="21" fillId="4" borderId="0" xfId="0" applyNumberFormat="1" applyFont="1" applyFill="1" applyBorder="1" applyAlignment="1">
      <alignment horizontal="right" vertical="center"/>
    </xf>
    <xf numFmtId="164" fontId="21" fillId="4" borderId="0" xfId="0" applyNumberFormat="1" applyFont="1" applyFill="1" applyBorder="1" applyAlignment="1" applyProtection="1">
      <alignment horizontal="left" vertical="center"/>
    </xf>
    <xf numFmtId="2" fontId="21" fillId="4" borderId="0" xfId="0" applyNumberFormat="1" applyFont="1" applyFill="1" applyBorder="1" applyAlignment="1">
      <alignment horizontal="right" vertical="center"/>
    </xf>
    <xf numFmtId="0" fontId="20" fillId="4" borderId="10" xfId="31" applyFont="1" applyFill="1" applyBorder="1" applyProtection="1"/>
    <xf numFmtId="0" fontId="21" fillId="4" borderId="10" xfId="31" applyFont="1" applyFill="1" applyBorder="1" applyProtection="1"/>
    <xf numFmtId="168" fontId="21" fillId="5" borderId="0" xfId="0" applyNumberFormat="1" applyFont="1" applyFill="1" applyBorder="1" applyAlignment="1">
      <alignment horizontal="right" vertical="center"/>
    </xf>
    <xf numFmtId="0" fontId="22" fillId="4" borderId="0" xfId="0" applyFont="1" applyFill="1"/>
    <xf numFmtId="164" fontId="21" fillId="5" borderId="0" xfId="0" applyNumberFormat="1" applyFont="1" applyFill="1" applyBorder="1" applyAlignment="1">
      <alignment horizontal="right" vertical="center"/>
    </xf>
    <xf numFmtId="164" fontId="21" fillId="5" borderId="3" xfId="0" applyNumberFormat="1" applyFont="1" applyFill="1" applyBorder="1" applyAlignment="1">
      <alignment horizontal="right" vertical="center"/>
    </xf>
    <xf numFmtId="0" fontId="54" fillId="0" borderId="0" xfId="0" applyFont="1"/>
    <xf numFmtId="164" fontId="21" fillId="4" borderId="2" xfId="24" applyFont="1" applyFill="1" applyAlignment="1">
      <alignment horizontal="right" vertical="center"/>
    </xf>
    <xf numFmtId="164" fontId="21" fillId="5" borderId="1" xfId="0" applyNumberFormat="1" applyFont="1" applyFill="1" applyBorder="1" applyAlignment="1">
      <alignment horizontal="right" vertical="center"/>
    </xf>
    <xf numFmtId="2" fontId="20" fillId="5" borderId="5" xfId="0" applyNumberFormat="1" applyFont="1" applyFill="1" applyBorder="1" applyAlignment="1" applyProtection="1">
      <alignment horizontal="right" vertical="center"/>
    </xf>
    <xf numFmtId="164" fontId="20" fillId="5" borderId="5" xfId="0" applyNumberFormat="1" applyFont="1" applyFill="1" applyBorder="1" applyAlignment="1" applyProtection="1">
      <alignment horizontal="right" vertical="center"/>
    </xf>
    <xf numFmtId="2" fontId="20" fillId="5" borderId="0" xfId="0" applyNumberFormat="1" applyFont="1" applyFill="1" applyBorder="1" applyAlignment="1" applyProtection="1">
      <alignment horizontal="right" vertical="center"/>
    </xf>
    <xf numFmtId="166" fontId="21" fillId="5" borderId="3" xfId="0" applyNumberFormat="1" applyFont="1" applyFill="1" applyBorder="1" applyAlignment="1">
      <alignment horizontal="right" vertical="center"/>
    </xf>
    <xf numFmtId="3" fontId="21" fillId="5" borderId="3" xfId="0" applyNumberFormat="1" applyFont="1" applyFill="1" applyBorder="1" applyAlignment="1">
      <alignment horizontal="right" vertical="center"/>
    </xf>
    <xf numFmtId="0" fontId="54" fillId="0" borderId="0" xfId="0" applyFont="1" applyFill="1"/>
    <xf numFmtId="168" fontId="54" fillId="0" borderId="0" xfId="0" applyNumberFormat="1" applyFont="1" applyFill="1"/>
    <xf numFmtId="2" fontId="33" fillId="0" borderId="0" xfId="0" applyNumberFormat="1" applyFont="1" applyFill="1" applyBorder="1" applyProtection="1"/>
    <xf numFmtId="0" fontId="33" fillId="0" borderId="0" xfId="0" applyFont="1" applyFill="1"/>
    <xf numFmtId="166" fontId="33" fillId="0" borderId="0" xfId="0" applyNumberFormat="1" applyFont="1" applyFill="1" applyBorder="1" applyProtection="1"/>
    <xf numFmtId="0" fontId="19" fillId="0" borderId="0" xfId="11" applyFont="1"/>
    <xf numFmtId="164" fontId="2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3" fontId="21" fillId="5" borderId="6" xfId="0" applyNumberFormat="1" applyFont="1" applyFill="1" applyBorder="1" applyAlignment="1">
      <alignment horizontal="right" wrapText="1"/>
    </xf>
    <xf numFmtId="3" fontId="21" fillId="5" borderId="5" xfId="0" applyNumberFormat="1" applyFont="1" applyFill="1" applyBorder="1" applyAlignment="1">
      <alignment horizontal="right" wrapText="1"/>
    </xf>
    <xf numFmtId="3" fontId="20" fillId="5" borderId="6" xfId="0" applyNumberFormat="1" applyFont="1" applyFill="1" applyBorder="1" applyAlignment="1">
      <alignment horizontal="right" wrapText="1"/>
    </xf>
    <xf numFmtId="3" fontId="20" fillId="5" borderId="5" xfId="0" applyNumberFormat="1" applyFont="1" applyFill="1" applyBorder="1" applyAlignment="1">
      <alignment horizontal="right" wrapText="1"/>
    </xf>
    <xf numFmtId="0" fontId="21" fillId="8" borderId="12" xfId="21" quotePrefix="1" applyFont="1" applyFill="1" applyBorder="1" applyAlignment="1">
      <alignment horizontal="center" vertical="center"/>
    </xf>
    <xf numFmtId="0" fontId="21" fillId="8" borderId="0" xfId="21" quotePrefix="1" applyFont="1" applyFill="1" applyBorder="1" applyAlignment="1">
      <alignment horizontal="center" vertical="center"/>
    </xf>
  </cellXfs>
  <cellStyles count="34">
    <cellStyle name="Euro" xfId="1"/>
    <cellStyle name="FUTURA9" xfId="2"/>
    <cellStyle name="Hipervínculo 2" xfId="33"/>
    <cellStyle name="MSTRStyle.All.c11_0c75425b-e4a8-4ede-ad3a-b7e420107163" xfId="28"/>
    <cellStyle name="MSTRStyle.All.c12_73f9af77-3b67-4e30-857e-a07fd4a2b3f5" xfId="24"/>
    <cellStyle name="MSTRStyle.All.c13_6b657269-c2f6-4112-b642-63cbe2217ce6" xfId="22"/>
    <cellStyle name="MSTRStyle.All.c14_299390cd-d429-49fc-85b2-53213256ee02" xfId="3"/>
    <cellStyle name="MSTRStyle.All.c15_2f4368de-db71-4a43-a39a-b7b0e4791d74" xfId="25"/>
    <cellStyle name="MSTRStyle.All.c2_1198c2cb-65a7-418f-8b21-ef92ba6b70e4" xfId="18"/>
    <cellStyle name="MSTRStyle.All.c20_6bd5dc4a-d28f-4b91-a6b3-a27c7bfb9777" xfId="30"/>
    <cellStyle name="MSTRStyle.All.c3_9f27800b-f169-4bc7-8559-5d9aa778b6fd" xfId="21"/>
    <cellStyle name="MSTRStyle.All.c6_52bbba20-dd49-44ca-889f-10924ebd6a5c" xfId="29"/>
    <cellStyle name="MSTRStyle.All.c7_67d71c51-d7a9-4ecd-a2d7-840811351f10" xfId="19"/>
    <cellStyle name="Normal" xfId="0" builtinId="0"/>
    <cellStyle name="Normal 2" xfId="13"/>
    <cellStyle name="Normal 2 2 2" xfId="4"/>
    <cellStyle name="Normal 3" xfId="14"/>
    <cellStyle name="Normal 4" xfId="5"/>
    <cellStyle name="Normal 5" xfId="6"/>
    <cellStyle name="Normal 6" xfId="7"/>
    <cellStyle name="Normal 7" xfId="17"/>
    <cellStyle name="Normal 8" xfId="20"/>
    <cellStyle name="Normal 9" xfId="26"/>
    <cellStyle name="Normal_4.1.5" xfId="31"/>
    <cellStyle name="Normal_A1 Comparacion Internacional" xfId="8"/>
    <cellStyle name="Normal_A1 Comparacion Internacional 2" xfId="32"/>
    <cellStyle name="Normal_MAY_3_PAG_10-12" xfId="16"/>
    <cellStyle name="Normal_Requerimientos_ ofertas_ asignaci_n y utilizaci_n de Secundaria (Mensual-simple)" xfId="12"/>
    <cellStyle name="Normal_Restricciones T_cnicas de Seguridad (Mensual-simple)" xfId="11"/>
    <cellStyle name="Porcentaje" xfId="9" builtinId="5"/>
    <cellStyle name="Porcentaje 2" xfId="15"/>
    <cellStyle name="Porcentaje 3" xfId="23"/>
    <cellStyle name="Porcentaje 4" xfId="27"/>
    <cellStyle name="Porcentual 2" xfId="1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C000"/>
      <color rgb="FFFFCC66"/>
      <color rgb="FF0090D1"/>
      <color rgb="FFCFA2CA"/>
      <color rgb="FFFF0000"/>
      <color rgb="FF464394"/>
      <color rgb="FFED7D31"/>
      <color rgb="FF95B3D7"/>
      <color rgb="FF993300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70508591281434263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'Data 1'!$C$5:$C$35</c:f>
              <c:numCache>
                <c:formatCode>General</c:formatCode>
                <c:ptCount val="31"/>
                <c:pt idx="0">
                  <c:v>57.01</c:v>
                </c:pt>
                <c:pt idx="1">
                  <c:v>55.8</c:v>
                </c:pt>
                <c:pt idx="2">
                  <c:v>55</c:v>
                </c:pt>
                <c:pt idx="3">
                  <c:v>53.4</c:v>
                </c:pt>
                <c:pt idx="4">
                  <c:v>52.15</c:v>
                </c:pt>
                <c:pt idx="5">
                  <c:v>57.15</c:v>
                </c:pt>
                <c:pt idx="6">
                  <c:v>54.24</c:v>
                </c:pt>
                <c:pt idx="7">
                  <c:v>56.42</c:v>
                </c:pt>
                <c:pt idx="8">
                  <c:v>54.99</c:v>
                </c:pt>
                <c:pt idx="9">
                  <c:v>53.69</c:v>
                </c:pt>
                <c:pt idx="10">
                  <c:v>53.48</c:v>
                </c:pt>
                <c:pt idx="11">
                  <c:v>53.39</c:v>
                </c:pt>
                <c:pt idx="12">
                  <c:v>53.46</c:v>
                </c:pt>
                <c:pt idx="13">
                  <c:v>54.93</c:v>
                </c:pt>
                <c:pt idx="14">
                  <c:v>55.03</c:v>
                </c:pt>
                <c:pt idx="15">
                  <c:v>55.44</c:v>
                </c:pt>
                <c:pt idx="16">
                  <c:v>53.69</c:v>
                </c:pt>
                <c:pt idx="17">
                  <c:v>51.33</c:v>
                </c:pt>
                <c:pt idx="18">
                  <c:v>52.52</c:v>
                </c:pt>
                <c:pt idx="19">
                  <c:v>50.02</c:v>
                </c:pt>
                <c:pt idx="20">
                  <c:v>52.69</c:v>
                </c:pt>
                <c:pt idx="21">
                  <c:v>54.93</c:v>
                </c:pt>
                <c:pt idx="22">
                  <c:v>51.9</c:v>
                </c:pt>
                <c:pt idx="23">
                  <c:v>53.65</c:v>
                </c:pt>
                <c:pt idx="24">
                  <c:v>55.89</c:v>
                </c:pt>
                <c:pt idx="25">
                  <c:v>55.39</c:v>
                </c:pt>
                <c:pt idx="26">
                  <c:v>54.9</c:v>
                </c:pt>
                <c:pt idx="27">
                  <c:v>56.9</c:v>
                </c:pt>
                <c:pt idx="28">
                  <c:v>55.69</c:v>
                </c:pt>
                <c:pt idx="29">
                  <c:v>55.73</c:v>
                </c:pt>
                <c:pt idx="30">
                  <c:v>56.3</c:v>
                </c:pt>
              </c:numCache>
            </c:numRef>
          </c:val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'Data 1'!$D$5:$D$35</c:f>
              <c:numCache>
                <c:formatCode>General</c:formatCode>
                <c:ptCount val="31"/>
                <c:pt idx="0">
                  <c:v>25.43</c:v>
                </c:pt>
                <c:pt idx="1">
                  <c:v>48.72</c:v>
                </c:pt>
                <c:pt idx="2">
                  <c:v>39.6</c:v>
                </c:pt>
                <c:pt idx="3">
                  <c:v>37.64</c:v>
                </c:pt>
                <c:pt idx="4">
                  <c:v>36.450000000000003</c:v>
                </c:pt>
                <c:pt idx="5">
                  <c:v>34.729999999999997</c:v>
                </c:pt>
                <c:pt idx="6">
                  <c:v>37.94</c:v>
                </c:pt>
                <c:pt idx="7">
                  <c:v>37.92</c:v>
                </c:pt>
                <c:pt idx="8">
                  <c:v>46.7</c:v>
                </c:pt>
                <c:pt idx="9">
                  <c:v>40.65</c:v>
                </c:pt>
                <c:pt idx="10">
                  <c:v>33.92</c:v>
                </c:pt>
                <c:pt idx="11">
                  <c:v>36.76</c:v>
                </c:pt>
                <c:pt idx="12">
                  <c:v>37.47</c:v>
                </c:pt>
                <c:pt idx="13">
                  <c:v>39.69</c:v>
                </c:pt>
                <c:pt idx="14">
                  <c:v>40.14</c:v>
                </c:pt>
                <c:pt idx="15">
                  <c:v>44.69</c:v>
                </c:pt>
                <c:pt idx="16">
                  <c:v>41.69</c:v>
                </c:pt>
                <c:pt idx="17">
                  <c:v>36.090000000000003</c:v>
                </c:pt>
                <c:pt idx="18">
                  <c:v>39.58</c:v>
                </c:pt>
                <c:pt idx="19">
                  <c:v>40.5</c:v>
                </c:pt>
                <c:pt idx="20">
                  <c:v>32</c:v>
                </c:pt>
                <c:pt idx="21">
                  <c:v>39.22</c:v>
                </c:pt>
                <c:pt idx="22">
                  <c:v>40.14</c:v>
                </c:pt>
                <c:pt idx="23">
                  <c:v>39.19</c:v>
                </c:pt>
                <c:pt idx="24">
                  <c:v>47.57</c:v>
                </c:pt>
                <c:pt idx="25">
                  <c:v>49.39</c:v>
                </c:pt>
                <c:pt idx="26">
                  <c:v>38.58</c:v>
                </c:pt>
                <c:pt idx="27">
                  <c:v>38.1</c:v>
                </c:pt>
                <c:pt idx="28">
                  <c:v>45.27</c:v>
                </c:pt>
                <c:pt idx="29">
                  <c:v>49.51</c:v>
                </c:pt>
                <c:pt idx="30">
                  <c:v>47.91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549208"/>
        <c:axId val="341549592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cat>
            <c:numRef>
              <c:f>'Data 1'!$A$5:$A$35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1'!$E$5:$E$35</c:f>
              <c:numCache>
                <c:formatCode>0.00</c:formatCode>
                <c:ptCount val="31"/>
                <c:pt idx="0">
                  <c:v>38.018271917299998</c:v>
                </c:pt>
                <c:pt idx="1">
                  <c:v>51.883648759000003</c:v>
                </c:pt>
                <c:pt idx="2">
                  <c:v>49.763551483599997</c:v>
                </c:pt>
                <c:pt idx="3">
                  <c:v>48.886001507099998</c:v>
                </c:pt>
                <c:pt idx="4">
                  <c:v>43.553707924900003</c:v>
                </c:pt>
                <c:pt idx="5">
                  <c:v>40.847454412600001</c:v>
                </c:pt>
                <c:pt idx="6">
                  <c:v>45.566509129799996</c:v>
                </c:pt>
                <c:pt idx="7">
                  <c:v>49.318090133799998</c:v>
                </c:pt>
                <c:pt idx="8">
                  <c:v>51.465826525399997</c:v>
                </c:pt>
                <c:pt idx="9">
                  <c:v>47.486922390300002</c:v>
                </c:pt>
                <c:pt idx="10">
                  <c:v>41.047992643100002</c:v>
                </c:pt>
                <c:pt idx="11">
                  <c:v>43.406565120400003</c:v>
                </c:pt>
                <c:pt idx="12">
                  <c:v>42.678005751699999</c:v>
                </c:pt>
                <c:pt idx="13">
                  <c:v>44.449026074999999</c:v>
                </c:pt>
                <c:pt idx="14">
                  <c:v>49.639078028999997</c:v>
                </c:pt>
                <c:pt idx="15">
                  <c:v>52.295267619699999</c:v>
                </c:pt>
                <c:pt idx="16">
                  <c:v>48.265892694400002</c:v>
                </c:pt>
                <c:pt idx="17">
                  <c:v>43.148225305399997</c:v>
                </c:pt>
                <c:pt idx="18">
                  <c:v>46.757207916399999</c:v>
                </c:pt>
                <c:pt idx="19">
                  <c:v>46.162376232299998</c:v>
                </c:pt>
                <c:pt idx="20">
                  <c:v>40.532521109900003</c:v>
                </c:pt>
                <c:pt idx="21">
                  <c:v>49.2631838175</c:v>
                </c:pt>
                <c:pt idx="22">
                  <c:v>46.754088284300003</c:v>
                </c:pt>
                <c:pt idx="23">
                  <c:v>48.4654577194</c:v>
                </c:pt>
                <c:pt idx="24">
                  <c:v>53.300543468500003</c:v>
                </c:pt>
                <c:pt idx="25">
                  <c:v>52.573700129300001</c:v>
                </c:pt>
                <c:pt idx="26">
                  <c:v>47.302779622300001</c:v>
                </c:pt>
                <c:pt idx="27">
                  <c:v>44.726275825899997</c:v>
                </c:pt>
                <c:pt idx="28">
                  <c:v>52.790669655800002</c:v>
                </c:pt>
                <c:pt idx="29">
                  <c:v>53.278490721200001</c:v>
                </c:pt>
                <c:pt idx="30">
                  <c:v>53.937975681799998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549208"/>
        <c:axId val="341549592"/>
      </c:lineChart>
      <c:catAx>
        <c:axId val="34154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341549592"/>
        <c:crosses val="autoZero"/>
        <c:auto val="1"/>
        <c:lblAlgn val="ctr"/>
        <c:lblOffset val="100"/>
        <c:noMultiLvlLbl val="0"/>
      </c:catAx>
      <c:valAx>
        <c:axId val="3415495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341549208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</c:legendEntry>
      <c:layout/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Energía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2'!$C$7:$O$7</c:f>
              <c:numCache>
                <c:formatCode>#,##0</c:formatCode>
                <c:ptCount val="13"/>
                <c:pt idx="0">
                  <c:v>499.50134408600002</c:v>
                </c:pt>
                <c:pt idx="1">
                  <c:v>497.6458333333</c:v>
                </c:pt>
                <c:pt idx="2">
                  <c:v>513.09139784950003</c:v>
                </c:pt>
                <c:pt idx="3">
                  <c:v>509.94758064519999</c:v>
                </c:pt>
                <c:pt idx="4">
                  <c:v>514.5902777778</c:v>
                </c:pt>
                <c:pt idx="5">
                  <c:v>502.7570469799</c:v>
                </c:pt>
                <c:pt idx="6">
                  <c:v>509.3888888889</c:v>
                </c:pt>
                <c:pt idx="7">
                  <c:v>515.34946236559995</c:v>
                </c:pt>
                <c:pt idx="8">
                  <c:v>520.03225806449996</c:v>
                </c:pt>
                <c:pt idx="9">
                  <c:v>516.89732142859998</c:v>
                </c:pt>
                <c:pt idx="10">
                  <c:v>513.60969044410001</c:v>
                </c:pt>
                <c:pt idx="11">
                  <c:v>504.98472222219999</c:v>
                </c:pt>
                <c:pt idx="12">
                  <c:v>508.80510752689997</c:v>
                </c:pt>
              </c:numCache>
            </c:numRef>
          </c:val>
        </c:ser>
        <c:ser>
          <c:idx val="0"/>
          <c:order val="1"/>
          <c:tx>
            <c:v>Energía a subir</c:v>
          </c:tx>
          <c:spPr>
            <a:solidFill>
              <a:srgbClr val="007AB0"/>
            </a:solidFill>
          </c:spPr>
          <c:invertIfNegative val="0"/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827104"/>
        <c:axId val="342710800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827104"/>
        <c:axId val="342710800"/>
      </c:lineChart>
      <c:valAx>
        <c:axId val="342710800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n-US"/>
          </a:p>
        </c:txPr>
        <c:crossAx val="342827104"/>
        <c:crosses val="autoZero"/>
        <c:crossBetween val="between"/>
        <c:majorUnit val="200"/>
      </c:valAx>
      <c:catAx>
        <c:axId val="3428271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2710800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2'!$B$19</c:f>
              <c:strCache>
                <c:ptCount val="1"/>
                <c:pt idx="0">
                  <c:v>Energía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'Data 2'!$C$18:$O$18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2'!$C$19:$O$19</c:f>
              <c:numCache>
                <c:formatCode>#,##0</c:formatCode>
                <c:ptCount val="13"/>
                <c:pt idx="0">
                  <c:v>182305.28</c:v>
                </c:pt>
                <c:pt idx="1">
                  <c:v>127443.428</c:v>
                </c:pt>
                <c:pt idx="2">
                  <c:v>94842.941000000006</c:v>
                </c:pt>
                <c:pt idx="3">
                  <c:v>101251.535</c:v>
                </c:pt>
                <c:pt idx="4">
                  <c:v>95450.948000000004</c:v>
                </c:pt>
                <c:pt idx="5">
                  <c:v>89660.354000000007</c:v>
                </c:pt>
                <c:pt idx="6">
                  <c:v>103079.48699999999</c:v>
                </c:pt>
                <c:pt idx="7">
                  <c:v>111652.906</c:v>
                </c:pt>
                <c:pt idx="8">
                  <c:v>114098.605</c:v>
                </c:pt>
                <c:pt idx="9">
                  <c:v>123063.594</c:v>
                </c:pt>
                <c:pt idx="10">
                  <c:v>142874.97500000001</c:v>
                </c:pt>
                <c:pt idx="11">
                  <c:v>143332.88099999999</c:v>
                </c:pt>
                <c:pt idx="12">
                  <c:v>124663.514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827888"/>
        <c:axId val="342828280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2'!$C$23:$O$23</c:f>
              <c:numCache>
                <c:formatCode>#,##0.0</c:formatCode>
                <c:ptCount val="13"/>
                <c:pt idx="0">
                  <c:v>34.957113419899997</c:v>
                </c:pt>
                <c:pt idx="1">
                  <c:v>42.795358659100003</c:v>
                </c:pt>
                <c:pt idx="2">
                  <c:v>42.778241450800003</c:v>
                </c:pt>
                <c:pt idx="3">
                  <c:v>42.113317590699999</c:v>
                </c:pt>
                <c:pt idx="4">
                  <c:v>44.897175667699997</c:v>
                </c:pt>
                <c:pt idx="5">
                  <c:v>52.989699438400002</c:v>
                </c:pt>
                <c:pt idx="6">
                  <c:v>58.889238651299998</c:v>
                </c:pt>
                <c:pt idx="7">
                  <c:v>62.754847688399998</c:v>
                </c:pt>
                <c:pt idx="8">
                  <c:v>75.307173036899997</c:v>
                </c:pt>
                <c:pt idx="9">
                  <c:v>56.121769286199999</c:v>
                </c:pt>
                <c:pt idx="10">
                  <c:v>47.867154202499997</c:v>
                </c:pt>
                <c:pt idx="11">
                  <c:v>48.851768841499997</c:v>
                </c:pt>
                <c:pt idx="12">
                  <c:v>50.732693448699997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829064"/>
        <c:axId val="342828672"/>
      </c:lineChart>
      <c:catAx>
        <c:axId val="34282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828280"/>
        <c:crosses val="autoZero"/>
        <c:auto val="1"/>
        <c:lblAlgn val="ctr"/>
        <c:lblOffset val="100"/>
        <c:noMultiLvlLbl val="1"/>
      </c:catAx>
      <c:valAx>
        <c:axId val="342828280"/>
        <c:scaling>
          <c:orientation val="minMax"/>
          <c:max val="2000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827888"/>
        <c:crosses val="autoZero"/>
        <c:crossBetween val="between"/>
        <c:majorUnit val="50000"/>
        <c:dispUnits>
          <c:builtInUnit val="thousands"/>
        </c:dispUnits>
      </c:valAx>
      <c:valAx>
        <c:axId val="342828672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829064"/>
        <c:crosses val="max"/>
        <c:crossBetween val="between"/>
        <c:majorUnit val="20"/>
      </c:valAx>
      <c:catAx>
        <c:axId val="342829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2828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'Data 2'!$C$20:$O$20</c:f>
              <c:numCache>
                <c:formatCode>#,##0</c:formatCode>
                <c:ptCount val="13"/>
                <c:pt idx="0">
                  <c:v>57735.940999999999</c:v>
                </c:pt>
                <c:pt idx="1">
                  <c:v>73081.98</c:v>
                </c:pt>
                <c:pt idx="2">
                  <c:v>91860.525999999998</c:v>
                </c:pt>
                <c:pt idx="3">
                  <c:v>86754.803</c:v>
                </c:pt>
                <c:pt idx="4">
                  <c:v>97600.017999999996</c:v>
                </c:pt>
                <c:pt idx="5">
                  <c:v>116442.124</c:v>
                </c:pt>
                <c:pt idx="6">
                  <c:v>105775.107</c:v>
                </c:pt>
                <c:pt idx="7">
                  <c:v>84597.135999999999</c:v>
                </c:pt>
                <c:pt idx="8">
                  <c:v>108041.45299999999</c:v>
                </c:pt>
                <c:pt idx="9">
                  <c:v>65058.027000000002</c:v>
                </c:pt>
                <c:pt idx="10">
                  <c:v>65080.661999999997</c:v>
                </c:pt>
                <c:pt idx="11">
                  <c:v>56832.525000000001</c:v>
                </c:pt>
                <c:pt idx="12">
                  <c:v>67245.510999999999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451792"/>
        <c:axId val="344451400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  <c:smooth val="0"/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'Data 2'!$C$24:$O$24</c:f>
              <c:numCache>
                <c:formatCode>#,##0.0</c:formatCode>
                <c:ptCount val="13"/>
                <c:pt idx="0">
                  <c:v>15.7738338412</c:v>
                </c:pt>
                <c:pt idx="1">
                  <c:v>29.031670050500001</c:v>
                </c:pt>
                <c:pt idx="2">
                  <c:v>33.197472982000001</c:v>
                </c:pt>
                <c:pt idx="3">
                  <c:v>32.055494956300002</c:v>
                </c:pt>
                <c:pt idx="4">
                  <c:v>35.148232452199998</c:v>
                </c:pt>
                <c:pt idx="5">
                  <c:v>45.464406849900001</c:v>
                </c:pt>
                <c:pt idx="6">
                  <c:v>50.752464660699999</c:v>
                </c:pt>
                <c:pt idx="7">
                  <c:v>52.399029560499997</c:v>
                </c:pt>
                <c:pt idx="8">
                  <c:v>65.800001782600006</c:v>
                </c:pt>
                <c:pt idx="9">
                  <c:v>39.8691003956</c:v>
                </c:pt>
                <c:pt idx="10">
                  <c:v>31.858757214200001</c:v>
                </c:pt>
                <c:pt idx="11">
                  <c:v>33.552731292499999</c:v>
                </c:pt>
                <c:pt idx="12">
                  <c:v>39.81575127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452576"/>
        <c:axId val="344452184"/>
      </c:lineChart>
      <c:valAx>
        <c:axId val="344451400"/>
        <c:scaling>
          <c:orientation val="maxMin"/>
          <c:max val="200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n-US"/>
          </a:p>
        </c:txPr>
        <c:crossAx val="344451792"/>
        <c:crosses val="autoZero"/>
        <c:crossBetween val="between"/>
        <c:majorUnit val="50000"/>
        <c:dispUnits>
          <c:builtInUnit val="thousands"/>
        </c:dispUnits>
      </c:valAx>
      <c:catAx>
        <c:axId val="34445179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4451400"/>
        <c:crosses val="autoZero"/>
        <c:auto val="1"/>
        <c:lblAlgn val="ctr"/>
        <c:lblOffset val="100"/>
        <c:noMultiLvlLbl val="0"/>
      </c:catAx>
      <c:valAx>
        <c:axId val="344452184"/>
        <c:scaling>
          <c:orientation val="maxMin"/>
          <c:max val="8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44452576"/>
        <c:crosses val="max"/>
        <c:crossBetween val="between"/>
        <c:majorUnit val="20"/>
      </c:valAx>
      <c:catAx>
        <c:axId val="344452576"/>
        <c:scaling>
          <c:orientation val="minMax"/>
        </c:scaling>
        <c:delete val="1"/>
        <c:axPos val="t"/>
        <c:majorTickMark val="out"/>
        <c:minorTickMark val="none"/>
        <c:tickLblPos val="nextTo"/>
        <c:crossAx val="34445218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711572675020762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2'!$C$54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2'!$D$54:$P$54</c:f>
              <c:numCache>
                <c:formatCode>#,##0.0</c:formatCode>
                <c:ptCount val="13"/>
                <c:pt idx="0">
                  <c:v>12444.9</c:v>
                </c:pt>
                <c:pt idx="1">
                  <c:v>27670.2</c:v>
                </c:pt>
                <c:pt idx="2">
                  <c:v>26575.7</c:v>
                </c:pt>
                <c:pt idx="3">
                  <c:v>32372.1</c:v>
                </c:pt>
                <c:pt idx="4">
                  <c:v>46810.1</c:v>
                </c:pt>
                <c:pt idx="5">
                  <c:v>30606.2</c:v>
                </c:pt>
                <c:pt idx="6">
                  <c:v>38654</c:v>
                </c:pt>
                <c:pt idx="7">
                  <c:v>48332.5</c:v>
                </c:pt>
                <c:pt idx="8">
                  <c:v>29873.4</c:v>
                </c:pt>
                <c:pt idx="9">
                  <c:v>92635.5</c:v>
                </c:pt>
                <c:pt idx="10">
                  <c:v>60556.800000000003</c:v>
                </c:pt>
                <c:pt idx="11">
                  <c:v>39185.699999999997</c:v>
                </c:pt>
                <c:pt idx="12">
                  <c:v>36573.1</c:v>
                </c:pt>
              </c:numCache>
            </c:numRef>
          </c:val>
        </c:ser>
        <c:ser>
          <c:idx val="3"/>
          <c:order val="2"/>
          <c:tx>
            <c:strRef>
              <c:f>'Data 2'!$C$55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2'!$D$55:$P$55</c:f>
              <c:numCache>
                <c:formatCode>#,##0.0</c:formatCode>
                <c:ptCount val="13"/>
                <c:pt idx="0">
                  <c:v>11889.1</c:v>
                </c:pt>
                <c:pt idx="1">
                  <c:v>15256.9</c:v>
                </c:pt>
                <c:pt idx="2">
                  <c:v>17125.2</c:v>
                </c:pt>
                <c:pt idx="3">
                  <c:v>19882</c:v>
                </c:pt>
                <c:pt idx="4">
                  <c:v>21088.9</c:v>
                </c:pt>
                <c:pt idx="5">
                  <c:v>25077.200000000001</c:v>
                </c:pt>
                <c:pt idx="6">
                  <c:v>23471.9</c:v>
                </c:pt>
                <c:pt idx="7">
                  <c:v>32343</c:v>
                </c:pt>
                <c:pt idx="8">
                  <c:v>31257.5</c:v>
                </c:pt>
                <c:pt idx="9">
                  <c:v>28594.2</c:v>
                </c:pt>
                <c:pt idx="10">
                  <c:v>29853.7</c:v>
                </c:pt>
                <c:pt idx="11">
                  <c:v>20218.599999999999</c:v>
                </c:pt>
                <c:pt idx="12">
                  <c:v>14965.8</c:v>
                </c:pt>
              </c:numCache>
            </c:numRef>
          </c:val>
        </c:ser>
        <c:ser>
          <c:idx val="4"/>
          <c:order val="3"/>
          <c:tx>
            <c:strRef>
              <c:f>'Data 2'!$C$56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2'!$D$56:$P$56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</c:v>
                </c:pt>
                <c:pt idx="4">
                  <c:v>0</c:v>
                </c:pt>
                <c:pt idx="5">
                  <c:v>351.5</c:v>
                </c:pt>
                <c:pt idx="6">
                  <c:v>1088.5</c:v>
                </c:pt>
                <c:pt idx="7">
                  <c:v>1137.0999999999999</c:v>
                </c:pt>
                <c:pt idx="8">
                  <c:v>232.7</c:v>
                </c:pt>
                <c:pt idx="9">
                  <c:v>463.1</c:v>
                </c:pt>
                <c:pt idx="10">
                  <c:v>1006.6</c:v>
                </c:pt>
                <c:pt idx="11">
                  <c:v>667</c:v>
                </c:pt>
                <c:pt idx="12">
                  <c:v>259.5</c:v>
                </c:pt>
              </c:numCache>
            </c:numRef>
          </c:val>
        </c:ser>
        <c:ser>
          <c:idx val="5"/>
          <c:order val="4"/>
          <c:tx>
            <c:strRef>
              <c:f>'Data 2'!$C$57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2'!$D$57:$P$57</c:f>
              <c:numCache>
                <c:formatCode>#,##0.0</c:formatCode>
                <c:ptCount val="13"/>
                <c:pt idx="0">
                  <c:v>63369.7</c:v>
                </c:pt>
                <c:pt idx="1">
                  <c:v>30546.6</c:v>
                </c:pt>
                <c:pt idx="2">
                  <c:v>22647.3</c:v>
                </c:pt>
                <c:pt idx="3">
                  <c:v>39268.199999999997</c:v>
                </c:pt>
                <c:pt idx="4">
                  <c:v>44806.400000000001</c:v>
                </c:pt>
                <c:pt idx="5">
                  <c:v>27192.1</c:v>
                </c:pt>
                <c:pt idx="6">
                  <c:v>28952.2</c:v>
                </c:pt>
                <c:pt idx="7">
                  <c:v>21197.200000000001</c:v>
                </c:pt>
                <c:pt idx="8">
                  <c:v>29718.6</c:v>
                </c:pt>
                <c:pt idx="9">
                  <c:v>59071.9</c:v>
                </c:pt>
                <c:pt idx="10">
                  <c:v>69541.7</c:v>
                </c:pt>
                <c:pt idx="11">
                  <c:v>58045.1</c:v>
                </c:pt>
                <c:pt idx="12">
                  <c:v>26811.1</c:v>
                </c:pt>
              </c:numCache>
            </c:numRef>
          </c:val>
        </c:ser>
        <c:ser>
          <c:idx val="7"/>
          <c:order val="6"/>
          <c:tx>
            <c:strRef>
              <c:f>'Data 2'!$C$59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2'!$D$59:$P$59</c:f>
              <c:numCache>
                <c:formatCode>#,##0.0</c:formatCode>
                <c:ptCount val="13"/>
                <c:pt idx="0">
                  <c:v>10841.6</c:v>
                </c:pt>
                <c:pt idx="1">
                  <c:v>4860.6000000000004</c:v>
                </c:pt>
                <c:pt idx="2">
                  <c:v>4001.3</c:v>
                </c:pt>
                <c:pt idx="3">
                  <c:v>8039.4</c:v>
                </c:pt>
                <c:pt idx="4">
                  <c:v>3126.2</c:v>
                </c:pt>
                <c:pt idx="5">
                  <c:v>4972</c:v>
                </c:pt>
                <c:pt idx="6">
                  <c:v>12138.1</c:v>
                </c:pt>
                <c:pt idx="7">
                  <c:v>3426.7</c:v>
                </c:pt>
                <c:pt idx="8">
                  <c:v>2813.5</c:v>
                </c:pt>
                <c:pt idx="9">
                  <c:v>13978.3</c:v>
                </c:pt>
                <c:pt idx="10">
                  <c:v>24572.7</c:v>
                </c:pt>
                <c:pt idx="11">
                  <c:v>10784.5</c:v>
                </c:pt>
                <c:pt idx="12">
                  <c:v>4780.8999999999996</c:v>
                </c:pt>
              </c:numCache>
            </c:numRef>
          </c:val>
        </c:ser>
        <c:ser>
          <c:idx val="9"/>
          <c:order val="8"/>
          <c:tx>
            <c:strRef>
              <c:f>'Data 2'!$C$61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2'!$D$61:$P$61</c:f>
              <c:numCache>
                <c:formatCode>#,##0.0</c:formatCode>
                <c:ptCount val="13"/>
                <c:pt idx="0">
                  <c:v>24843.5</c:v>
                </c:pt>
                <c:pt idx="1">
                  <c:v>13133.6</c:v>
                </c:pt>
                <c:pt idx="2">
                  <c:v>9478.7999999999993</c:v>
                </c:pt>
                <c:pt idx="3">
                  <c:v>14094.1</c:v>
                </c:pt>
                <c:pt idx="4">
                  <c:v>8427.2000000000007</c:v>
                </c:pt>
                <c:pt idx="5">
                  <c:v>25903.4</c:v>
                </c:pt>
                <c:pt idx="6">
                  <c:v>20858.900000000001</c:v>
                </c:pt>
                <c:pt idx="7">
                  <c:v>25403.7</c:v>
                </c:pt>
                <c:pt idx="8">
                  <c:v>48230.3</c:v>
                </c:pt>
                <c:pt idx="9">
                  <c:v>19654.8</c:v>
                </c:pt>
                <c:pt idx="10">
                  <c:v>29936.2</c:v>
                </c:pt>
                <c:pt idx="11">
                  <c:v>30176.3</c:v>
                </c:pt>
                <c:pt idx="12">
                  <c:v>9611.2999999999993</c:v>
                </c:pt>
              </c:numCache>
            </c:numRef>
          </c:val>
        </c:ser>
        <c:ser>
          <c:idx val="11"/>
          <c:order val="10"/>
          <c:tx>
            <c:strRef>
              <c:f>'Data 2'!$C$63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2'!$D$63:$P$63</c:f>
              <c:numCache>
                <c:formatCode>#,##0.0</c:formatCode>
                <c:ptCount val="13"/>
                <c:pt idx="0">
                  <c:v>260</c:v>
                </c:pt>
                <c:pt idx="1">
                  <c:v>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171.9</c:v>
                </c:pt>
                <c:pt idx="6">
                  <c:v>0</c:v>
                </c:pt>
                <c:pt idx="7">
                  <c:v>222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635.29999999999995</c:v>
                </c:pt>
                <c:pt idx="12">
                  <c:v>138</c:v>
                </c:pt>
              </c:numCache>
            </c:numRef>
          </c:val>
        </c:ser>
        <c:ser>
          <c:idx val="16"/>
          <c:order val="15"/>
          <c:tx>
            <c:strRef>
              <c:f>'Data 2'!$C$68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2'!$D$68:$P$68</c:f>
              <c:numCache>
                <c:formatCode>#,##0.0</c:formatCode>
                <c:ptCount val="13"/>
                <c:pt idx="0">
                  <c:v>6935.7</c:v>
                </c:pt>
                <c:pt idx="1">
                  <c:v>583.9</c:v>
                </c:pt>
                <c:pt idx="2">
                  <c:v>608.4</c:v>
                </c:pt>
                <c:pt idx="3">
                  <c:v>2953</c:v>
                </c:pt>
                <c:pt idx="4">
                  <c:v>5288</c:v>
                </c:pt>
                <c:pt idx="5">
                  <c:v>4234.3999999999996</c:v>
                </c:pt>
                <c:pt idx="6">
                  <c:v>1910.4</c:v>
                </c:pt>
                <c:pt idx="7">
                  <c:v>6361.9</c:v>
                </c:pt>
                <c:pt idx="8">
                  <c:v>3337.1</c:v>
                </c:pt>
                <c:pt idx="9">
                  <c:v>9063.5</c:v>
                </c:pt>
                <c:pt idx="10">
                  <c:v>14315.8</c:v>
                </c:pt>
                <c:pt idx="11">
                  <c:v>9263.7000000000007</c:v>
                </c:pt>
                <c:pt idx="12">
                  <c:v>3683.8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453360"/>
        <c:axId val="344453752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2'!$C$53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2'!$D$53:$P$53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2'!$C$58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2'!$D$58:$P$58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2'!$C$60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2'!$D$60:$P$60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2'!$C$62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2'!$D$62:$P$62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2'!$C$64</c15:sqref>
                        </c15:formulaRef>
                      </c:ext>
                    </c:extLst>
                    <c:strCache>
                      <c:ptCount val="1"/>
                      <c:pt idx="0">
                        <c:v>Otras Renovables</c:v>
                      </c:pt>
                    </c:strCache>
                  </c:strRef>
                </c:tx>
                <c:spPr>
                  <a:solidFill>
                    <a:srgbClr val="9999FF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2'!$D$64:$P$64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2'!$C$65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2'!$D$65:$P$65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2'!$C$66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2'!$D$66:$P$66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2'!$C$67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2'!$D$67:$P$67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6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2'!$D$72:$O$72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0"/>
          <c:order val="17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2'!$D$71:$P$71</c:f>
              <c:numCache>
                <c:formatCode>#,##0.0</c:formatCode>
                <c:ptCount val="13"/>
                <c:pt idx="0">
                  <c:v>5.2265654805999997</c:v>
                </c:pt>
                <c:pt idx="1">
                  <c:v>17.557231438199999</c:v>
                </c:pt>
                <c:pt idx="2">
                  <c:v>26.8690120306</c:v>
                </c:pt>
                <c:pt idx="3">
                  <c:v>23.897432801400001</c:v>
                </c:pt>
                <c:pt idx="4">
                  <c:v>26.829993639400001</c:v>
                </c:pt>
                <c:pt idx="5">
                  <c:v>38.168603739600002</c:v>
                </c:pt>
                <c:pt idx="6">
                  <c:v>34.907456206600003</c:v>
                </c:pt>
                <c:pt idx="7">
                  <c:v>40.305706087300003</c:v>
                </c:pt>
                <c:pt idx="8">
                  <c:v>51.364834243200001</c:v>
                </c:pt>
                <c:pt idx="9">
                  <c:v>28.525761104899999</c:v>
                </c:pt>
                <c:pt idx="10">
                  <c:v>19.292700864</c:v>
                </c:pt>
                <c:pt idx="11">
                  <c:v>26.8904340375</c:v>
                </c:pt>
                <c:pt idx="12">
                  <c:v>30.571421091000001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454536"/>
        <c:axId val="344454144"/>
      </c:lineChart>
      <c:catAx>
        <c:axId val="3444533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344453752"/>
        <c:crosses val="autoZero"/>
        <c:auto val="1"/>
        <c:lblAlgn val="ctr"/>
        <c:lblOffset val="100"/>
        <c:noMultiLvlLbl val="0"/>
      </c:catAx>
      <c:valAx>
        <c:axId val="344453752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53360"/>
        <c:crosses val="autoZero"/>
        <c:crossBetween val="between"/>
        <c:dispUnits>
          <c:builtInUnit val="thousands"/>
        </c:dispUnits>
      </c:valAx>
      <c:valAx>
        <c:axId val="344454144"/>
        <c:scaling>
          <c:orientation val="maxMin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54536"/>
        <c:crosses val="max"/>
        <c:crossBetween val="between"/>
        <c:majorUnit val="15"/>
      </c:valAx>
      <c:catAx>
        <c:axId val="344454536"/>
        <c:scaling>
          <c:orientation val="minMax"/>
        </c:scaling>
        <c:delete val="1"/>
        <c:axPos val="t"/>
        <c:majorTickMark val="out"/>
        <c:minorTickMark val="none"/>
        <c:tickLblPos val="nextTo"/>
        <c:crossAx val="344454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61227484713775E-2"/>
          <c:y val="0.81067770393357508"/>
          <c:w val="0.93301716447601879"/>
          <c:h val="0.18932229606642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7775684317079388"/>
          <c:w val="0.90427766318885094"/>
          <c:h val="0.681554009979161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2'!$C$37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2'!$D$37:$P$37</c:f>
              <c:numCache>
                <c:formatCode>#,##0.0</c:formatCode>
                <c:ptCount val="13"/>
                <c:pt idx="0">
                  <c:v>53629.9</c:v>
                </c:pt>
                <c:pt idx="1">
                  <c:v>56105.7</c:v>
                </c:pt>
                <c:pt idx="2">
                  <c:v>52336</c:v>
                </c:pt>
                <c:pt idx="3">
                  <c:v>37334.5</c:v>
                </c:pt>
                <c:pt idx="4">
                  <c:v>37698.5</c:v>
                </c:pt>
                <c:pt idx="5">
                  <c:v>28157.599999999999</c:v>
                </c:pt>
                <c:pt idx="6">
                  <c:v>34938.5</c:v>
                </c:pt>
                <c:pt idx="7">
                  <c:v>38367.5</c:v>
                </c:pt>
                <c:pt idx="8">
                  <c:v>33693.800000000003</c:v>
                </c:pt>
                <c:pt idx="9">
                  <c:v>19518.400000000001</c:v>
                </c:pt>
                <c:pt idx="10">
                  <c:v>27782.799999999999</c:v>
                </c:pt>
                <c:pt idx="11">
                  <c:v>26944.799999999999</c:v>
                </c:pt>
                <c:pt idx="12">
                  <c:v>49018.7</c:v>
                </c:pt>
              </c:numCache>
            </c:numRef>
          </c:val>
        </c:ser>
        <c:ser>
          <c:idx val="3"/>
          <c:order val="2"/>
          <c:tx>
            <c:strRef>
              <c:f>'Data 2'!$C$38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2'!$D$38:$P$38</c:f>
              <c:numCache>
                <c:formatCode>#,##0.0</c:formatCode>
                <c:ptCount val="13"/>
                <c:pt idx="0">
                  <c:v>65079.6</c:v>
                </c:pt>
                <c:pt idx="1">
                  <c:v>88155</c:v>
                </c:pt>
                <c:pt idx="2">
                  <c:v>94541.2</c:v>
                </c:pt>
                <c:pt idx="3">
                  <c:v>67871</c:v>
                </c:pt>
                <c:pt idx="4">
                  <c:v>66682.3</c:v>
                </c:pt>
                <c:pt idx="5">
                  <c:v>75179.899999999994</c:v>
                </c:pt>
                <c:pt idx="6">
                  <c:v>96462</c:v>
                </c:pt>
                <c:pt idx="7">
                  <c:v>66989.600000000006</c:v>
                </c:pt>
                <c:pt idx="8">
                  <c:v>71645.3</c:v>
                </c:pt>
                <c:pt idx="9">
                  <c:v>30319.3</c:v>
                </c:pt>
                <c:pt idx="10">
                  <c:v>47861.9</c:v>
                </c:pt>
                <c:pt idx="11">
                  <c:v>48899.3</c:v>
                </c:pt>
                <c:pt idx="12">
                  <c:v>59814.3</c:v>
                </c:pt>
              </c:numCache>
            </c:numRef>
          </c:val>
        </c:ser>
        <c:ser>
          <c:idx val="4"/>
          <c:order val="3"/>
          <c:tx>
            <c:strRef>
              <c:f>'Data 2'!$C$39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2'!$D$39:$P$39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2.2000000000000002</c:v>
                </c:pt>
                <c:pt idx="6">
                  <c:v>10.5</c:v>
                </c:pt>
                <c:pt idx="7">
                  <c:v>22.7</c:v>
                </c:pt>
                <c:pt idx="8">
                  <c:v>16.3</c:v>
                </c:pt>
                <c:pt idx="9">
                  <c:v>9.6</c:v>
                </c:pt>
                <c:pt idx="10">
                  <c:v>30.1</c:v>
                </c:pt>
                <c:pt idx="11">
                  <c:v>13.6</c:v>
                </c:pt>
                <c:pt idx="12">
                  <c:v>7.3</c:v>
                </c:pt>
              </c:numCache>
            </c:numRef>
          </c:val>
        </c:ser>
        <c:ser>
          <c:idx val="5"/>
          <c:order val="4"/>
          <c:tx>
            <c:strRef>
              <c:f>'Data 2'!$C$40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2'!$D$40:$P$40</c:f>
              <c:numCache>
                <c:formatCode>#,##0.0</c:formatCode>
                <c:ptCount val="13"/>
                <c:pt idx="0">
                  <c:v>15177.5</c:v>
                </c:pt>
                <c:pt idx="1">
                  <c:v>4098</c:v>
                </c:pt>
                <c:pt idx="2">
                  <c:v>1399.6</c:v>
                </c:pt>
                <c:pt idx="3">
                  <c:v>1577.6</c:v>
                </c:pt>
                <c:pt idx="4">
                  <c:v>1355</c:v>
                </c:pt>
                <c:pt idx="5">
                  <c:v>3499.1</c:v>
                </c:pt>
                <c:pt idx="6">
                  <c:v>3432.1</c:v>
                </c:pt>
                <c:pt idx="7">
                  <c:v>3010.5</c:v>
                </c:pt>
                <c:pt idx="8">
                  <c:v>5899.1</c:v>
                </c:pt>
                <c:pt idx="9">
                  <c:v>4595.7</c:v>
                </c:pt>
                <c:pt idx="10">
                  <c:v>3279.6</c:v>
                </c:pt>
                <c:pt idx="11">
                  <c:v>6553.1</c:v>
                </c:pt>
                <c:pt idx="12">
                  <c:v>7845.9</c:v>
                </c:pt>
              </c:numCache>
            </c:numRef>
          </c:val>
        </c:ser>
        <c:ser>
          <c:idx val="7"/>
          <c:order val="6"/>
          <c:tx>
            <c:strRef>
              <c:f>'Data 2'!$C$42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2'!$D$42:$P$42</c:f>
              <c:numCache>
                <c:formatCode>#,##0.0</c:formatCode>
                <c:ptCount val="13"/>
                <c:pt idx="0">
                  <c:v>1551.4</c:v>
                </c:pt>
                <c:pt idx="1">
                  <c:v>1765.6</c:v>
                </c:pt>
                <c:pt idx="2">
                  <c:v>1952.7</c:v>
                </c:pt>
                <c:pt idx="3">
                  <c:v>2939.5</c:v>
                </c:pt>
                <c:pt idx="4">
                  <c:v>2661.1</c:v>
                </c:pt>
                <c:pt idx="5">
                  <c:v>2164.6999999999998</c:v>
                </c:pt>
                <c:pt idx="6">
                  <c:v>3197.2</c:v>
                </c:pt>
                <c:pt idx="7">
                  <c:v>2208.6</c:v>
                </c:pt>
                <c:pt idx="8">
                  <c:v>4288.7</c:v>
                </c:pt>
                <c:pt idx="9">
                  <c:v>2486.3000000000002</c:v>
                </c:pt>
                <c:pt idx="10">
                  <c:v>3494.1</c:v>
                </c:pt>
                <c:pt idx="11">
                  <c:v>2541.5</c:v>
                </c:pt>
                <c:pt idx="12">
                  <c:v>7018.8</c:v>
                </c:pt>
              </c:numCache>
            </c:numRef>
          </c:val>
        </c:ser>
        <c:ser>
          <c:idx val="9"/>
          <c:order val="8"/>
          <c:tx>
            <c:strRef>
              <c:f>'Data 2'!$C$44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2'!$D$44:$P$44</c:f>
              <c:numCache>
                <c:formatCode>#,##0.0</c:formatCode>
                <c:ptCount val="13"/>
                <c:pt idx="0">
                  <c:v>50504.5</c:v>
                </c:pt>
                <c:pt idx="1">
                  <c:v>53472.5</c:v>
                </c:pt>
                <c:pt idx="2">
                  <c:v>50314</c:v>
                </c:pt>
                <c:pt idx="3">
                  <c:v>37964.300000000003</c:v>
                </c:pt>
                <c:pt idx="4">
                  <c:v>53272.9</c:v>
                </c:pt>
                <c:pt idx="5">
                  <c:v>70061.5</c:v>
                </c:pt>
                <c:pt idx="6">
                  <c:v>72313.8</c:v>
                </c:pt>
                <c:pt idx="7">
                  <c:v>52585.3</c:v>
                </c:pt>
                <c:pt idx="8">
                  <c:v>99664.7</c:v>
                </c:pt>
                <c:pt idx="9">
                  <c:v>21689.9</c:v>
                </c:pt>
                <c:pt idx="10">
                  <c:v>75296.7</c:v>
                </c:pt>
                <c:pt idx="11">
                  <c:v>45882.6</c:v>
                </c:pt>
                <c:pt idx="12">
                  <c:v>58284.6</c:v>
                </c:pt>
              </c:numCache>
            </c:numRef>
          </c:val>
        </c:ser>
        <c:ser>
          <c:idx val="11"/>
          <c:order val="10"/>
          <c:tx>
            <c:strRef>
              <c:f>'Data 2'!$C$46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2'!$D$46:$P$46</c:f>
              <c:numCache>
                <c:formatCode>#,##0.0</c:formatCode>
                <c:ptCount val="13"/>
                <c:pt idx="0">
                  <c:v>57</c:v>
                </c:pt>
                <c:pt idx="1">
                  <c:v>75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21.9</c:v>
                </c:pt>
                <c:pt idx="6">
                  <c:v>0</c:v>
                </c:pt>
                <c:pt idx="7">
                  <c:v>619.5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122</c:v>
                </c:pt>
                <c:pt idx="12">
                  <c:v>169.5</c:v>
                </c:pt>
              </c:numCache>
            </c:numRef>
          </c:val>
        </c:ser>
        <c:ser>
          <c:idx val="16"/>
          <c:order val="15"/>
          <c:tx>
            <c:strRef>
              <c:f>'Data 2'!$C$51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2'!$D$51:$P$51</c:f>
              <c:numCache>
                <c:formatCode>#,##0.0</c:formatCode>
                <c:ptCount val="13"/>
                <c:pt idx="0">
                  <c:v>37889.800000000003</c:v>
                </c:pt>
                <c:pt idx="1">
                  <c:v>25898.400000000001</c:v>
                </c:pt>
                <c:pt idx="2">
                  <c:v>24575.3</c:v>
                </c:pt>
                <c:pt idx="3">
                  <c:v>23687.200000000001</c:v>
                </c:pt>
                <c:pt idx="4">
                  <c:v>23588.2</c:v>
                </c:pt>
                <c:pt idx="5">
                  <c:v>29280.6</c:v>
                </c:pt>
                <c:pt idx="6">
                  <c:v>56573.1</c:v>
                </c:pt>
                <c:pt idx="7">
                  <c:v>39099.800000000003</c:v>
                </c:pt>
                <c:pt idx="8">
                  <c:v>74414.2</c:v>
                </c:pt>
                <c:pt idx="9">
                  <c:v>32220.5</c:v>
                </c:pt>
                <c:pt idx="10">
                  <c:v>32248</c:v>
                </c:pt>
                <c:pt idx="11">
                  <c:v>24942.1</c:v>
                </c:pt>
                <c:pt idx="12">
                  <c:v>36979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627392"/>
        <c:axId val="344627784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2'!$C$36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2'!$D$36:$P$36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2'!$C$41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2'!$D$41:$P$41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2'!$C$43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2'!$D$43:$P$43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2'!$C$45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2'!$D$45:$P$45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2'!$C$47</c15:sqref>
                        </c15:formulaRef>
                      </c:ext>
                    </c:extLst>
                    <c:strCache>
                      <c:ptCount val="1"/>
                      <c:pt idx="0">
                        <c:v>Otras Renovables</c:v>
                      </c:pt>
                    </c:strCache>
                  </c:strRef>
                </c:tx>
                <c:spPr>
                  <a:solidFill>
                    <a:srgbClr val="9999FF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2'!$D$47:$P$47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2'!$C$48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2'!$D$48:$P$48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2'!$C$49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2'!$D$49:$P$49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2'!$C$50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2'!$D$50:$P$50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6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2'!$D$70:$P$70</c:f>
              <c:numCache>
                <c:formatCode>#,##0.0</c:formatCode>
                <c:ptCount val="13"/>
                <c:pt idx="0">
                  <c:v>38.0888409784</c:v>
                </c:pt>
                <c:pt idx="1">
                  <c:v>46.215583904200003</c:v>
                </c:pt>
                <c:pt idx="2">
                  <c:v>46.918287322099999</c:v>
                </c:pt>
                <c:pt idx="3">
                  <c:v>46.1267665349</c:v>
                </c:pt>
                <c:pt idx="4">
                  <c:v>49.102792214099999</c:v>
                </c:pt>
                <c:pt idx="5">
                  <c:v>59.519913470200002</c:v>
                </c:pt>
                <c:pt idx="6">
                  <c:v>67.237482616999998</c:v>
                </c:pt>
                <c:pt idx="7">
                  <c:v>69.353032254200002</c:v>
                </c:pt>
                <c:pt idx="8">
                  <c:v>86.022068378100002</c:v>
                </c:pt>
                <c:pt idx="9">
                  <c:v>68.272500196199999</c:v>
                </c:pt>
                <c:pt idx="10">
                  <c:v>53.459637766</c:v>
                </c:pt>
                <c:pt idx="11">
                  <c:v>51.962276409700003</c:v>
                </c:pt>
                <c:pt idx="12">
                  <c:v>54.692289017699999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28568"/>
        <c:axId val="344628176"/>
      </c:lineChart>
      <c:catAx>
        <c:axId val="34462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27784"/>
        <c:crosses val="autoZero"/>
        <c:auto val="1"/>
        <c:lblAlgn val="ctr"/>
        <c:lblOffset val="100"/>
        <c:noMultiLvlLbl val="0"/>
      </c:catAx>
      <c:valAx>
        <c:axId val="3446277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27392"/>
        <c:crosses val="autoZero"/>
        <c:crossBetween val="between"/>
        <c:dispUnits>
          <c:builtInUnit val="thousands"/>
        </c:dispUnits>
      </c:valAx>
      <c:valAx>
        <c:axId val="344628176"/>
        <c:scaling>
          <c:orientation val="minMax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28568"/>
        <c:crosses val="max"/>
        <c:crossBetween val="between"/>
        <c:majorUnit val="15"/>
      </c:valAx>
      <c:catAx>
        <c:axId val="344628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4628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67939991587276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2'!$C$93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'Data 2'!$D$93:$P$93</c:f>
              <c:numCache>
                <c:formatCode>#,##0.0</c:formatCode>
                <c:ptCount val="13"/>
                <c:pt idx="0">
                  <c:v>2502.1</c:v>
                </c:pt>
                <c:pt idx="1">
                  <c:v>9826.2999999999993</c:v>
                </c:pt>
                <c:pt idx="2">
                  <c:v>16804.900000000001</c:v>
                </c:pt>
                <c:pt idx="3">
                  <c:v>20254.099999999999</c:v>
                </c:pt>
                <c:pt idx="4">
                  <c:v>28176.400000000001</c:v>
                </c:pt>
                <c:pt idx="5">
                  <c:v>10892.6</c:v>
                </c:pt>
                <c:pt idx="6">
                  <c:v>5563.5</c:v>
                </c:pt>
                <c:pt idx="7">
                  <c:v>12581.1</c:v>
                </c:pt>
                <c:pt idx="8">
                  <c:v>7306.9</c:v>
                </c:pt>
                <c:pt idx="9">
                  <c:v>50376</c:v>
                </c:pt>
                <c:pt idx="10">
                  <c:v>46429</c:v>
                </c:pt>
                <c:pt idx="11">
                  <c:v>17956.2</c:v>
                </c:pt>
                <c:pt idx="12">
                  <c:v>6283.8</c:v>
                </c:pt>
              </c:numCache>
            </c:numRef>
          </c:val>
        </c:ser>
        <c:ser>
          <c:idx val="1"/>
          <c:order val="1"/>
          <c:tx>
            <c:strRef>
              <c:f>'Data 2'!$C$94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'Data 2'!$D$94:$P$94</c:f>
              <c:numCache>
                <c:formatCode>#,##0.0</c:formatCode>
                <c:ptCount val="13"/>
                <c:pt idx="0">
                  <c:v>1126</c:v>
                </c:pt>
                <c:pt idx="1">
                  <c:v>3497.3</c:v>
                </c:pt>
                <c:pt idx="2">
                  <c:v>9200.1</c:v>
                </c:pt>
                <c:pt idx="3">
                  <c:v>4502.5</c:v>
                </c:pt>
                <c:pt idx="4">
                  <c:v>12664.3</c:v>
                </c:pt>
                <c:pt idx="5">
                  <c:v>9459.2999999999993</c:v>
                </c:pt>
                <c:pt idx="6">
                  <c:v>5060.2</c:v>
                </c:pt>
                <c:pt idx="7">
                  <c:v>13203.9</c:v>
                </c:pt>
                <c:pt idx="8">
                  <c:v>11559.1</c:v>
                </c:pt>
                <c:pt idx="9">
                  <c:v>18600.8</c:v>
                </c:pt>
                <c:pt idx="10">
                  <c:v>22875.8</c:v>
                </c:pt>
                <c:pt idx="11">
                  <c:v>12815.5</c:v>
                </c:pt>
                <c:pt idx="12">
                  <c:v>4145.3</c:v>
                </c:pt>
              </c:numCache>
            </c:numRef>
          </c:val>
        </c:ser>
        <c:ser>
          <c:idx val="2"/>
          <c:order val="2"/>
          <c:tx>
            <c:strRef>
              <c:f>'Data 2'!$C$95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'Data 2'!$D$95:$P$95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113</c:v>
                </c:pt>
                <c:pt idx="7">
                  <c:v>233</c:v>
                </c:pt>
                <c:pt idx="8">
                  <c:v>88</c:v>
                </c:pt>
                <c:pt idx="9">
                  <c:v>92.8</c:v>
                </c:pt>
                <c:pt idx="10">
                  <c:v>230</c:v>
                </c:pt>
                <c:pt idx="11">
                  <c:v>103.4</c:v>
                </c:pt>
                <c:pt idx="12">
                  <c:v>18.899999999999999</c:v>
                </c:pt>
              </c:numCache>
            </c:numRef>
          </c:val>
        </c:ser>
        <c:ser>
          <c:idx val="3"/>
          <c:order val="3"/>
          <c:tx>
            <c:strRef>
              <c:f>'Data 2'!$C$96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2'!$D$96:$P$96</c:f>
              <c:numCache>
                <c:formatCode>#,##0.0</c:formatCode>
                <c:ptCount val="13"/>
                <c:pt idx="0">
                  <c:v>10105.799999999999</c:v>
                </c:pt>
                <c:pt idx="1">
                  <c:v>8231.5</c:v>
                </c:pt>
                <c:pt idx="2">
                  <c:v>4654.1000000000004</c:v>
                </c:pt>
                <c:pt idx="3">
                  <c:v>14825.7</c:v>
                </c:pt>
                <c:pt idx="4">
                  <c:v>15166.3</c:v>
                </c:pt>
                <c:pt idx="5">
                  <c:v>7585</c:v>
                </c:pt>
                <c:pt idx="6">
                  <c:v>7129.2</c:v>
                </c:pt>
                <c:pt idx="7">
                  <c:v>6261.8</c:v>
                </c:pt>
                <c:pt idx="8">
                  <c:v>7999</c:v>
                </c:pt>
                <c:pt idx="9">
                  <c:v>18257.2</c:v>
                </c:pt>
                <c:pt idx="10">
                  <c:v>26858.5</c:v>
                </c:pt>
                <c:pt idx="11">
                  <c:v>12162.2</c:v>
                </c:pt>
                <c:pt idx="12">
                  <c:v>7977.8</c:v>
                </c:pt>
              </c:numCache>
            </c:numRef>
          </c:val>
        </c:ser>
        <c:ser>
          <c:idx val="4"/>
          <c:order val="4"/>
          <c:tx>
            <c:strRef>
              <c:f>'Data 2'!$C$97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'Data 2'!$D$97:$P$97</c:f>
              <c:numCache>
                <c:formatCode>#,##0.0</c:formatCode>
                <c:ptCount val="13"/>
                <c:pt idx="0">
                  <c:v>176.9</c:v>
                </c:pt>
                <c:pt idx="1">
                  <c:v>242</c:v>
                </c:pt>
                <c:pt idx="2">
                  <c:v>369.5</c:v>
                </c:pt>
                <c:pt idx="3">
                  <c:v>422.9</c:v>
                </c:pt>
                <c:pt idx="4">
                  <c:v>462.1</c:v>
                </c:pt>
                <c:pt idx="5">
                  <c:v>201.8</c:v>
                </c:pt>
                <c:pt idx="6">
                  <c:v>169.4</c:v>
                </c:pt>
                <c:pt idx="7">
                  <c:v>220.5</c:v>
                </c:pt>
                <c:pt idx="8">
                  <c:v>402.8</c:v>
                </c:pt>
                <c:pt idx="9">
                  <c:v>867.9</c:v>
                </c:pt>
                <c:pt idx="10">
                  <c:v>1566</c:v>
                </c:pt>
                <c:pt idx="11">
                  <c:v>688.3</c:v>
                </c:pt>
                <c:pt idx="12">
                  <c:v>313</c:v>
                </c:pt>
              </c:numCache>
            </c:numRef>
          </c:val>
        </c:ser>
        <c:ser>
          <c:idx val="5"/>
          <c:order val="5"/>
          <c:tx>
            <c:strRef>
              <c:f>'Data 2'!$C$98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'Data 2'!$D$98:$P$98</c:f>
              <c:numCache>
                <c:formatCode>#,##0.0</c:formatCode>
                <c:ptCount val="13"/>
                <c:pt idx="0">
                  <c:v>4467.7</c:v>
                </c:pt>
                <c:pt idx="1">
                  <c:v>3677.4</c:v>
                </c:pt>
                <c:pt idx="2">
                  <c:v>7625.8</c:v>
                </c:pt>
                <c:pt idx="3">
                  <c:v>13215.2</c:v>
                </c:pt>
                <c:pt idx="4">
                  <c:v>8996.5</c:v>
                </c:pt>
                <c:pt idx="5">
                  <c:v>8745.2999999999993</c:v>
                </c:pt>
                <c:pt idx="6">
                  <c:v>3964.2</c:v>
                </c:pt>
                <c:pt idx="7">
                  <c:v>5846.4</c:v>
                </c:pt>
                <c:pt idx="8">
                  <c:v>17797.7</c:v>
                </c:pt>
                <c:pt idx="9">
                  <c:v>17793.5</c:v>
                </c:pt>
                <c:pt idx="10">
                  <c:v>20878.900000000001</c:v>
                </c:pt>
                <c:pt idx="11">
                  <c:v>19850.2</c:v>
                </c:pt>
                <c:pt idx="12">
                  <c:v>4389.8</c:v>
                </c:pt>
              </c:numCache>
            </c:numRef>
          </c:val>
        </c:ser>
        <c:ser>
          <c:idx val="6"/>
          <c:order val="6"/>
          <c:tx>
            <c:strRef>
              <c:f>'Data 2'!$C$99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'Data 2'!$D$99:$P$99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66</c:v>
                </c:pt>
                <c:pt idx="12">
                  <c:v>0</c:v>
                </c:pt>
              </c:numCache>
            </c:numRef>
          </c:val>
        </c:ser>
        <c:ser>
          <c:idx val="9"/>
          <c:order val="7"/>
          <c:tx>
            <c:strRef>
              <c:f>'Data 2'!$C$100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'Data 2'!$D$100:$P$100</c:f>
              <c:numCache>
                <c:formatCode>#,##0.0</c:formatCode>
                <c:ptCount val="13"/>
                <c:pt idx="0">
                  <c:v>1975.3</c:v>
                </c:pt>
                <c:pt idx="1">
                  <c:v>129.80000000000001</c:v>
                </c:pt>
                <c:pt idx="2">
                  <c:v>107.2</c:v>
                </c:pt>
                <c:pt idx="3">
                  <c:v>462.9</c:v>
                </c:pt>
                <c:pt idx="4">
                  <c:v>3124.7</c:v>
                </c:pt>
                <c:pt idx="5">
                  <c:v>691.6</c:v>
                </c:pt>
                <c:pt idx="6">
                  <c:v>709</c:v>
                </c:pt>
                <c:pt idx="7">
                  <c:v>1688.7</c:v>
                </c:pt>
                <c:pt idx="8">
                  <c:v>1941.3</c:v>
                </c:pt>
                <c:pt idx="9">
                  <c:v>4596.7</c:v>
                </c:pt>
                <c:pt idx="10">
                  <c:v>13810.2</c:v>
                </c:pt>
                <c:pt idx="11">
                  <c:v>11430.1</c:v>
                </c:pt>
                <c:pt idx="12">
                  <c:v>935.6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629352"/>
        <c:axId val="344629744"/>
      </c:barChart>
      <c:lineChart>
        <c:grouping val="standard"/>
        <c:varyColors val="0"/>
        <c:ser>
          <c:idx val="8"/>
          <c:order val="8"/>
          <c:tx>
            <c:v>Precio medio a subir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'Data 2'!$D$104:$P$104</c:f>
              <c:numCache>
                <c:formatCode>mmm\-yy</c:formatCode>
                <c:ptCount val="13"/>
              </c:numCache>
            </c:numRef>
          </c:val>
          <c:smooth val="0"/>
        </c:ser>
        <c:ser>
          <c:idx val="7"/>
          <c:order val="9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2'!$D$103:$P$103</c:f>
              <c:numCache>
                <c:formatCode>#,##0.0</c:formatCode>
                <c:ptCount val="13"/>
                <c:pt idx="0">
                  <c:v>12.8525263096</c:v>
                </c:pt>
                <c:pt idx="1">
                  <c:v>24.859456028899999</c:v>
                </c:pt>
                <c:pt idx="2">
                  <c:v>31.8991628313</c:v>
                </c:pt>
                <c:pt idx="3">
                  <c:v>26.904423163299999</c:v>
                </c:pt>
                <c:pt idx="4">
                  <c:v>32.704484016000002</c:v>
                </c:pt>
                <c:pt idx="5">
                  <c:v>42.427821282799997</c:v>
                </c:pt>
                <c:pt idx="6">
                  <c:v>39.590902965799998</c:v>
                </c:pt>
                <c:pt idx="7">
                  <c:v>47.524236561400002</c:v>
                </c:pt>
                <c:pt idx="8">
                  <c:v>56.505910843700001</c:v>
                </c:pt>
                <c:pt idx="9">
                  <c:v>39.278952461000003</c:v>
                </c:pt>
                <c:pt idx="10">
                  <c:v>30.862738864499999</c:v>
                </c:pt>
                <c:pt idx="11">
                  <c:v>38.917594599300003</c:v>
                </c:pt>
                <c:pt idx="12">
                  <c:v>37.510220161100001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30528"/>
        <c:axId val="344630136"/>
      </c:lineChart>
      <c:catAx>
        <c:axId val="34462935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344629744"/>
        <c:crosses val="autoZero"/>
        <c:auto val="1"/>
        <c:lblAlgn val="ctr"/>
        <c:lblOffset val="100"/>
        <c:noMultiLvlLbl val="0"/>
      </c:catAx>
      <c:valAx>
        <c:axId val="344629744"/>
        <c:scaling>
          <c:orientation val="maxMin"/>
          <c:max val="18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29352"/>
        <c:crosses val="autoZero"/>
        <c:crossBetween val="between"/>
        <c:dispUnits>
          <c:builtInUnit val="thousands"/>
        </c:dispUnits>
      </c:valAx>
      <c:valAx>
        <c:axId val="344630136"/>
        <c:scaling>
          <c:orientation val="maxMin"/>
          <c:max val="9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630528"/>
        <c:crosses val="max"/>
        <c:crossBetween val="between"/>
        <c:majorUnit val="10"/>
      </c:valAx>
      <c:catAx>
        <c:axId val="344630528"/>
        <c:scaling>
          <c:orientation val="minMax"/>
        </c:scaling>
        <c:delete val="1"/>
        <c:axPos val="t"/>
        <c:majorTickMark val="out"/>
        <c:minorTickMark val="none"/>
        <c:tickLblPos val="nextTo"/>
        <c:crossAx val="344630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'Data 2'!$C$84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2'!$D$84:$P$84</c:f>
              <c:numCache>
                <c:formatCode>#,##0.0</c:formatCode>
                <c:ptCount val="13"/>
                <c:pt idx="0">
                  <c:v>18542.900000000001</c:v>
                </c:pt>
                <c:pt idx="1">
                  <c:v>32003.200000000001</c:v>
                </c:pt>
                <c:pt idx="2">
                  <c:v>51324.2</c:v>
                </c:pt>
                <c:pt idx="3">
                  <c:v>19608</c:v>
                </c:pt>
                <c:pt idx="4">
                  <c:v>51777.2</c:v>
                </c:pt>
                <c:pt idx="5">
                  <c:v>16527.099999999999</c:v>
                </c:pt>
                <c:pt idx="6">
                  <c:v>27911.599999999999</c:v>
                </c:pt>
                <c:pt idx="7">
                  <c:v>14759.8</c:v>
                </c:pt>
                <c:pt idx="8">
                  <c:v>27333.200000000001</c:v>
                </c:pt>
                <c:pt idx="9">
                  <c:v>11782.3</c:v>
                </c:pt>
                <c:pt idx="10">
                  <c:v>10392.299999999999</c:v>
                </c:pt>
                <c:pt idx="11">
                  <c:v>11417.3</c:v>
                </c:pt>
                <c:pt idx="12">
                  <c:v>14921.9</c:v>
                </c:pt>
              </c:numCache>
            </c:numRef>
          </c:val>
        </c:ser>
        <c:ser>
          <c:idx val="18"/>
          <c:order val="1"/>
          <c:tx>
            <c:strRef>
              <c:f>'Data 2'!$C$85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2'!$D$85:$P$85</c:f>
              <c:numCache>
                <c:formatCode>#,##0.0</c:formatCode>
                <c:ptCount val="13"/>
                <c:pt idx="0">
                  <c:v>12194.7</c:v>
                </c:pt>
                <c:pt idx="1">
                  <c:v>25715</c:v>
                </c:pt>
                <c:pt idx="2">
                  <c:v>59857.5</c:v>
                </c:pt>
                <c:pt idx="3">
                  <c:v>34074</c:v>
                </c:pt>
                <c:pt idx="4">
                  <c:v>60003.199999999997</c:v>
                </c:pt>
                <c:pt idx="5">
                  <c:v>30870.5</c:v>
                </c:pt>
                <c:pt idx="6">
                  <c:v>59353</c:v>
                </c:pt>
                <c:pt idx="7">
                  <c:v>21112.2</c:v>
                </c:pt>
                <c:pt idx="8">
                  <c:v>50390.400000000001</c:v>
                </c:pt>
                <c:pt idx="9">
                  <c:v>9297.4</c:v>
                </c:pt>
                <c:pt idx="10">
                  <c:v>9024.7999999999993</c:v>
                </c:pt>
                <c:pt idx="11">
                  <c:v>11177.4</c:v>
                </c:pt>
                <c:pt idx="12">
                  <c:v>12578.5</c:v>
                </c:pt>
              </c:numCache>
            </c:numRef>
          </c:val>
        </c:ser>
        <c:ser>
          <c:idx val="19"/>
          <c:order val="2"/>
          <c:tx>
            <c:strRef>
              <c:f>'Data 2'!$C$86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2'!$D$86:$P$86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ser>
          <c:idx val="20"/>
          <c:order val="3"/>
          <c:tx>
            <c:strRef>
              <c:f>'Data 2'!$C$87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2'!$D$87:$P$87</c:f>
              <c:numCache>
                <c:formatCode>#,##0.0</c:formatCode>
                <c:ptCount val="13"/>
                <c:pt idx="0">
                  <c:v>3802.8</c:v>
                </c:pt>
                <c:pt idx="1">
                  <c:v>1834</c:v>
                </c:pt>
                <c:pt idx="2">
                  <c:v>381.3</c:v>
                </c:pt>
                <c:pt idx="3">
                  <c:v>154.80000000000001</c:v>
                </c:pt>
                <c:pt idx="4">
                  <c:v>418.8</c:v>
                </c:pt>
                <c:pt idx="5">
                  <c:v>2014.8</c:v>
                </c:pt>
                <c:pt idx="6">
                  <c:v>2603.5</c:v>
                </c:pt>
                <c:pt idx="7">
                  <c:v>2054.9</c:v>
                </c:pt>
                <c:pt idx="8">
                  <c:v>1420.1</c:v>
                </c:pt>
                <c:pt idx="9">
                  <c:v>2429.3000000000002</c:v>
                </c:pt>
                <c:pt idx="10">
                  <c:v>1213</c:v>
                </c:pt>
                <c:pt idx="11">
                  <c:v>2298.6999999999998</c:v>
                </c:pt>
                <c:pt idx="12">
                  <c:v>1623.5</c:v>
                </c:pt>
              </c:numCache>
            </c:numRef>
          </c:val>
        </c:ser>
        <c:ser>
          <c:idx val="21"/>
          <c:order val="4"/>
          <c:tx>
            <c:strRef>
              <c:f>'Data 2'!$C$88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2'!$D$88:$P$88</c:f>
              <c:numCache>
                <c:formatCode>#,##0.0</c:formatCode>
                <c:ptCount val="13"/>
                <c:pt idx="0">
                  <c:v>29.4</c:v>
                </c:pt>
                <c:pt idx="1">
                  <c:v>309.7</c:v>
                </c:pt>
                <c:pt idx="2">
                  <c:v>830.5</c:v>
                </c:pt>
                <c:pt idx="3">
                  <c:v>407.6</c:v>
                </c:pt>
                <c:pt idx="4">
                  <c:v>585.4</c:v>
                </c:pt>
                <c:pt idx="5">
                  <c:v>341.7</c:v>
                </c:pt>
                <c:pt idx="6">
                  <c:v>562.79999999999995</c:v>
                </c:pt>
                <c:pt idx="7">
                  <c:v>290</c:v>
                </c:pt>
                <c:pt idx="8">
                  <c:v>796.7</c:v>
                </c:pt>
                <c:pt idx="9">
                  <c:v>37.700000000000003</c:v>
                </c:pt>
                <c:pt idx="10">
                  <c:v>83.9</c:v>
                </c:pt>
                <c:pt idx="11">
                  <c:v>146.30000000000001</c:v>
                </c:pt>
                <c:pt idx="12">
                  <c:v>791</c:v>
                </c:pt>
              </c:numCache>
            </c:numRef>
          </c:val>
        </c:ser>
        <c:ser>
          <c:idx val="22"/>
          <c:order val="5"/>
          <c:tx>
            <c:strRef>
              <c:f>'Data 2'!$C$89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2'!$D$89:$P$89</c:f>
              <c:numCache>
                <c:formatCode>#,##0.0</c:formatCode>
                <c:ptCount val="13"/>
                <c:pt idx="0">
                  <c:v>10110.1</c:v>
                </c:pt>
                <c:pt idx="1">
                  <c:v>15345.5</c:v>
                </c:pt>
                <c:pt idx="2">
                  <c:v>22884.7</c:v>
                </c:pt>
                <c:pt idx="3">
                  <c:v>13164.8</c:v>
                </c:pt>
                <c:pt idx="4">
                  <c:v>30624.400000000001</c:v>
                </c:pt>
                <c:pt idx="5">
                  <c:v>14982.5</c:v>
                </c:pt>
                <c:pt idx="6">
                  <c:v>23494.9</c:v>
                </c:pt>
                <c:pt idx="7">
                  <c:v>9517.7000000000007</c:v>
                </c:pt>
                <c:pt idx="8">
                  <c:v>48799.7</c:v>
                </c:pt>
                <c:pt idx="9">
                  <c:v>5011.6000000000004</c:v>
                </c:pt>
                <c:pt idx="10">
                  <c:v>15815.6</c:v>
                </c:pt>
                <c:pt idx="11">
                  <c:v>6448.1</c:v>
                </c:pt>
                <c:pt idx="12">
                  <c:v>6148.7</c:v>
                </c:pt>
              </c:numCache>
            </c:numRef>
          </c:val>
        </c:ser>
        <c:ser>
          <c:idx val="23"/>
          <c:order val="6"/>
          <c:tx>
            <c:strRef>
              <c:f>'Data 2'!$C$90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2'!$D$90:$P$90</c:f>
              <c:numCache>
                <c:formatCode>#,##0.0</c:formatCode>
                <c:ptCount val="13"/>
                <c:pt idx="0">
                  <c:v>0</c:v>
                </c:pt>
                <c:pt idx="1">
                  <c:v>404.7</c:v>
                </c:pt>
                <c:pt idx="2">
                  <c:v>0</c:v>
                </c:pt>
                <c:pt idx="3">
                  <c:v>150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105</c:v>
                </c:pt>
                <c:pt idx="12">
                  <c:v>0</c:v>
                </c:pt>
              </c:numCache>
            </c:numRef>
          </c:val>
        </c:ser>
        <c:ser>
          <c:idx val="24"/>
          <c:order val="7"/>
          <c:tx>
            <c:strRef>
              <c:f>'Data 2'!$C$91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2'!$D$91:$P$91</c:f>
              <c:numCache>
                <c:formatCode>#,##0.0</c:formatCode>
                <c:ptCount val="13"/>
                <c:pt idx="0">
                  <c:v>15019.5</c:v>
                </c:pt>
                <c:pt idx="1">
                  <c:v>3667.5</c:v>
                </c:pt>
                <c:pt idx="2">
                  <c:v>5850</c:v>
                </c:pt>
                <c:pt idx="3">
                  <c:v>4538.1000000000004</c:v>
                </c:pt>
                <c:pt idx="4">
                  <c:v>11791</c:v>
                </c:pt>
                <c:pt idx="5">
                  <c:v>6233.4</c:v>
                </c:pt>
                <c:pt idx="6">
                  <c:v>15319.9</c:v>
                </c:pt>
                <c:pt idx="7">
                  <c:v>10705.2</c:v>
                </c:pt>
                <c:pt idx="8">
                  <c:v>22768.5</c:v>
                </c:pt>
                <c:pt idx="9">
                  <c:v>3301.6</c:v>
                </c:pt>
                <c:pt idx="10">
                  <c:v>5970.4</c:v>
                </c:pt>
                <c:pt idx="11">
                  <c:v>1824.9</c:v>
                </c:pt>
                <c:pt idx="12">
                  <c:v>5041.6000000000004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5618616"/>
        <c:axId val="345619008"/>
      </c:barChart>
      <c:lineChart>
        <c:grouping val="standard"/>
        <c:varyColors val="0"/>
        <c:ser>
          <c:idx val="15"/>
          <c:order val="8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2'!$D$102:$P$102</c:f>
              <c:numCache>
                <c:formatCode>#,##0.0</c:formatCode>
                <c:ptCount val="13"/>
                <c:pt idx="0">
                  <c:v>35.241335926300003</c:v>
                </c:pt>
                <c:pt idx="1">
                  <c:v>45.437845422999999</c:v>
                </c:pt>
                <c:pt idx="2">
                  <c:v>45.583879125499998</c:v>
                </c:pt>
                <c:pt idx="3">
                  <c:v>46.119075471599999</c:v>
                </c:pt>
                <c:pt idx="4">
                  <c:v>50.606002190700003</c:v>
                </c:pt>
                <c:pt idx="5">
                  <c:v>58.413288431700003</c:v>
                </c:pt>
                <c:pt idx="6">
                  <c:v>64.995111945700003</c:v>
                </c:pt>
                <c:pt idx="7">
                  <c:v>67.596904775699997</c:v>
                </c:pt>
                <c:pt idx="8">
                  <c:v>84.925632340299998</c:v>
                </c:pt>
                <c:pt idx="9">
                  <c:v>75.523737362600002</c:v>
                </c:pt>
                <c:pt idx="10">
                  <c:v>52.278636470599999</c:v>
                </c:pt>
                <c:pt idx="11">
                  <c:v>50.1687773612</c:v>
                </c:pt>
                <c:pt idx="12">
                  <c:v>52.772110097999999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619792"/>
        <c:axId val="345619400"/>
      </c:lineChart>
      <c:catAx>
        <c:axId val="34561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619008"/>
        <c:crosses val="autoZero"/>
        <c:auto val="1"/>
        <c:lblAlgn val="ctr"/>
        <c:lblOffset val="100"/>
        <c:noMultiLvlLbl val="0"/>
      </c:catAx>
      <c:valAx>
        <c:axId val="3456190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618616"/>
        <c:crosses val="autoZero"/>
        <c:crossBetween val="between"/>
        <c:dispUnits>
          <c:builtInUnit val="thousands"/>
        </c:dispUnits>
      </c:valAx>
      <c:valAx>
        <c:axId val="345619400"/>
        <c:scaling>
          <c:orientation val="minMax"/>
          <c:max val="9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619792"/>
        <c:crosses val="max"/>
        <c:crossBetween val="between"/>
        <c:majorUnit val="10"/>
      </c:valAx>
      <c:catAx>
        <c:axId val="345619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5619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2'!$B$130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'Data 2'!$C$130:$O$130</c:f>
              <c:numCache>
                <c:formatCode>#,##0.0</c:formatCode>
                <c:ptCount val="13"/>
                <c:pt idx="0">
                  <c:v>0</c:v>
                </c:pt>
                <c:pt idx="1">
                  <c:v>2132.8000000000002</c:v>
                </c:pt>
                <c:pt idx="2">
                  <c:v>3265.4</c:v>
                </c:pt>
                <c:pt idx="3">
                  <c:v>8244.2000000000007</c:v>
                </c:pt>
                <c:pt idx="4">
                  <c:v>208.4</c:v>
                </c:pt>
                <c:pt idx="5">
                  <c:v>3100.2</c:v>
                </c:pt>
                <c:pt idx="6">
                  <c:v>0</c:v>
                </c:pt>
                <c:pt idx="7">
                  <c:v>0</c:v>
                </c:pt>
                <c:pt idx="8">
                  <c:v>376.2</c:v>
                </c:pt>
                <c:pt idx="9">
                  <c:v>14289.6</c:v>
                </c:pt>
                <c:pt idx="10">
                  <c:v>1420.9</c:v>
                </c:pt>
                <c:pt idx="11">
                  <c:v>808.2</c:v>
                </c:pt>
                <c:pt idx="12">
                  <c:v>0</c:v>
                </c:pt>
              </c:numCache>
            </c:numRef>
          </c:val>
        </c:ser>
        <c:ser>
          <c:idx val="4"/>
          <c:order val="1"/>
          <c:tx>
            <c:strRef>
              <c:f>'Data 2'!$B$131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'Data 2'!$C$131:$O$131</c:f>
              <c:numCache>
                <c:formatCode>#,##0.0</c:formatCode>
                <c:ptCount val="13"/>
                <c:pt idx="0">
                  <c:v>570.5</c:v>
                </c:pt>
                <c:pt idx="1">
                  <c:v>1653.1</c:v>
                </c:pt>
                <c:pt idx="2">
                  <c:v>16.7</c:v>
                </c:pt>
                <c:pt idx="3">
                  <c:v>904.8</c:v>
                </c:pt>
                <c:pt idx="4">
                  <c:v>783.8</c:v>
                </c:pt>
                <c:pt idx="5">
                  <c:v>1575.6</c:v>
                </c:pt>
                <c:pt idx="6">
                  <c:v>1898.2</c:v>
                </c:pt>
                <c:pt idx="7">
                  <c:v>331</c:v>
                </c:pt>
                <c:pt idx="8">
                  <c:v>910.9</c:v>
                </c:pt>
                <c:pt idx="9">
                  <c:v>859.1</c:v>
                </c:pt>
                <c:pt idx="10">
                  <c:v>0</c:v>
                </c:pt>
                <c:pt idx="11">
                  <c:v>1016.6</c:v>
                </c:pt>
                <c:pt idx="12">
                  <c:v>1097.9000000000001</c:v>
                </c:pt>
              </c:numCache>
            </c:numRef>
          </c:val>
        </c:ser>
        <c:ser>
          <c:idx val="5"/>
          <c:order val="2"/>
          <c:tx>
            <c:strRef>
              <c:f>'Data 2'!$B$132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'Data 2'!$C$132:$O$132</c:f>
              <c:numCache>
                <c:formatCode>#,##0.0</c:formatCode>
                <c:ptCount val="13"/>
                <c:pt idx="0">
                  <c:v>1413.2</c:v>
                </c:pt>
                <c:pt idx="1">
                  <c:v>89.7</c:v>
                </c:pt>
                <c:pt idx="2">
                  <c:v>18.399999999999999</c:v>
                </c:pt>
                <c:pt idx="3">
                  <c:v>2.7</c:v>
                </c:pt>
                <c:pt idx="4">
                  <c:v>39.5</c:v>
                </c:pt>
                <c:pt idx="5">
                  <c:v>0</c:v>
                </c:pt>
                <c:pt idx="6">
                  <c:v>24.2</c:v>
                </c:pt>
                <c:pt idx="7">
                  <c:v>0</c:v>
                </c:pt>
                <c:pt idx="8">
                  <c:v>0</c:v>
                </c:pt>
                <c:pt idx="9">
                  <c:v>4972</c:v>
                </c:pt>
                <c:pt idx="10">
                  <c:v>2021.5</c:v>
                </c:pt>
                <c:pt idx="11">
                  <c:v>1618.6</c:v>
                </c:pt>
                <c:pt idx="12">
                  <c:v>0</c:v>
                </c:pt>
              </c:numCache>
            </c:numRef>
          </c:val>
        </c:ser>
        <c:ser>
          <c:idx val="6"/>
          <c:order val="3"/>
          <c:tx>
            <c:strRef>
              <c:f>'Data 2'!$B$133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2'!$C$133:$O$133</c:f>
              <c:numCache>
                <c:formatCode>#,##0.0</c:formatCode>
                <c:ptCount val="13"/>
                <c:pt idx="0">
                  <c:v>39702.400000000001</c:v>
                </c:pt>
                <c:pt idx="1">
                  <c:v>22758.3</c:v>
                </c:pt>
                <c:pt idx="2">
                  <c:v>3709.8</c:v>
                </c:pt>
                <c:pt idx="3">
                  <c:v>6336.3</c:v>
                </c:pt>
                <c:pt idx="4">
                  <c:v>20030</c:v>
                </c:pt>
                <c:pt idx="5">
                  <c:v>51191.5</c:v>
                </c:pt>
                <c:pt idx="6">
                  <c:v>49736.3</c:v>
                </c:pt>
                <c:pt idx="7">
                  <c:v>101506.1</c:v>
                </c:pt>
                <c:pt idx="8">
                  <c:v>52921.9</c:v>
                </c:pt>
                <c:pt idx="9">
                  <c:v>28184.1</c:v>
                </c:pt>
                <c:pt idx="10">
                  <c:v>27920</c:v>
                </c:pt>
                <c:pt idx="11">
                  <c:v>42815.3</c:v>
                </c:pt>
                <c:pt idx="12">
                  <c:v>21404.400000000001</c:v>
                </c:pt>
              </c:numCache>
            </c:numRef>
          </c:val>
        </c:ser>
        <c:ser>
          <c:idx val="7"/>
          <c:order val="4"/>
          <c:tx>
            <c:strRef>
              <c:f>'Data 2'!$B$134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val>
            <c:numRef>
              <c:f>'Data 2'!$C$134:$O$134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213.5</c:v>
                </c:pt>
                <c:pt idx="5">
                  <c:v>0</c:v>
                </c:pt>
                <c:pt idx="6">
                  <c:v>0</c:v>
                </c:pt>
                <c:pt idx="7">
                  <c:v>204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5"/>
          <c:tx>
            <c:strRef>
              <c:f>'Data 2'!$B$135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'Data 2'!$C$135:$O$135</c:f>
              <c:numCache>
                <c:formatCode>#,##0.0</c:formatCode>
                <c:ptCount val="13"/>
                <c:pt idx="0">
                  <c:v>4712.8999999999996</c:v>
                </c:pt>
                <c:pt idx="1">
                  <c:v>1839.6</c:v>
                </c:pt>
                <c:pt idx="2">
                  <c:v>10611</c:v>
                </c:pt>
                <c:pt idx="3">
                  <c:v>978.8</c:v>
                </c:pt>
                <c:pt idx="4">
                  <c:v>1049.8</c:v>
                </c:pt>
                <c:pt idx="5">
                  <c:v>12.5</c:v>
                </c:pt>
                <c:pt idx="6">
                  <c:v>105.1</c:v>
                </c:pt>
                <c:pt idx="7">
                  <c:v>0</c:v>
                </c:pt>
                <c:pt idx="8">
                  <c:v>42.8</c:v>
                </c:pt>
                <c:pt idx="9">
                  <c:v>40219.4</c:v>
                </c:pt>
                <c:pt idx="10">
                  <c:v>13875.8</c:v>
                </c:pt>
                <c:pt idx="11">
                  <c:v>4070.8</c:v>
                </c:pt>
                <c:pt idx="12">
                  <c:v>137.4</c:v>
                </c:pt>
              </c:numCache>
            </c:numRef>
          </c:val>
        </c:ser>
        <c:ser>
          <c:idx val="9"/>
          <c:order val="6"/>
          <c:tx>
            <c:strRef>
              <c:f>'Data 2'!$B$136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'Data 2'!$C$136:$O$136</c:f>
              <c:numCache>
                <c:formatCode>#,##0.0</c:formatCode>
                <c:ptCount val="13"/>
                <c:pt idx="0">
                  <c:v>426.9</c:v>
                </c:pt>
                <c:pt idx="1">
                  <c:v>206.1</c:v>
                </c:pt>
                <c:pt idx="2">
                  <c:v>1.6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106.7</c:v>
                </c:pt>
                <c:pt idx="8">
                  <c:v>0</c:v>
                </c:pt>
                <c:pt idx="9">
                  <c:v>7988.8</c:v>
                </c:pt>
                <c:pt idx="10">
                  <c:v>2396.1</c:v>
                </c:pt>
                <c:pt idx="11">
                  <c:v>105.9</c:v>
                </c:pt>
                <c:pt idx="12">
                  <c:v>0</c:v>
                </c:pt>
              </c:numCache>
            </c:numRef>
          </c:val>
        </c:ser>
        <c:ser>
          <c:idx val="0"/>
          <c:order val="7"/>
          <c:tx>
            <c:strRef>
              <c:f>'Data 2'!$B$123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'Data 2'!$C$147:$O$147</c:f>
              <c:numCache>
                <c:formatCode>General</c:formatCode>
                <c:ptCount val="13"/>
              </c:numCache>
            </c:numRef>
          </c:val>
        </c:ser>
        <c:ser>
          <c:idx val="10"/>
          <c:order val="8"/>
          <c:tx>
            <c:strRef>
              <c:f>'Data 2'!$B$137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'Data 2'!$C$137:$O$137</c:f>
              <c:numCache>
                <c:formatCode>#,##0.0</c:formatCode>
                <c:ptCount val="13"/>
                <c:pt idx="0">
                  <c:v>339.1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49.4</c:v>
                </c:pt>
                <c:pt idx="10">
                  <c:v>21.7</c:v>
                </c:pt>
                <c:pt idx="11">
                  <c:v>51.2</c:v>
                </c:pt>
                <c:pt idx="12">
                  <c:v>0</c:v>
                </c:pt>
              </c:numCache>
            </c:numRef>
          </c:val>
        </c:ser>
        <c:ser>
          <c:idx val="11"/>
          <c:order val="9"/>
          <c:tx>
            <c:strRef>
              <c:f>'Data 2'!$B$138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'Data 2'!$C$138:$O$138</c:f>
              <c:numCache>
                <c:formatCode>#,##0.0</c:formatCode>
                <c:ptCount val="13"/>
                <c:pt idx="0">
                  <c:v>87.1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240.8</c:v>
                </c:pt>
                <c:pt idx="10">
                  <c:v>98.3</c:v>
                </c:pt>
                <c:pt idx="11">
                  <c:v>12.8</c:v>
                </c:pt>
                <c:pt idx="12">
                  <c:v>0</c:v>
                </c:pt>
              </c:numCache>
            </c:numRef>
          </c:val>
        </c:ser>
        <c:ser>
          <c:idx val="12"/>
          <c:order val="10"/>
          <c:tx>
            <c:strRef>
              <c:f>'Data 2'!$B$139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'Data 2'!$C$139:$O$139</c:f>
              <c:numCache>
                <c:formatCode>#,##0.0</c:formatCode>
                <c:ptCount val="13"/>
                <c:pt idx="0">
                  <c:v>9.1</c:v>
                </c:pt>
                <c:pt idx="1">
                  <c:v>8.1999999999999993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3"/>
          <c:order val="11"/>
          <c:tx>
            <c:strRef>
              <c:f>'Data 2'!$B$140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'Data 2'!$C$140:$O$140</c:f>
              <c:numCache>
                <c:formatCode>#,##0.0</c:formatCode>
                <c:ptCount val="13"/>
                <c:pt idx="0">
                  <c:v>19.100000000000001</c:v>
                </c:pt>
                <c:pt idx="1">
                  <c:v>112.5</c:v>
                </c:pt>
                <c:pt idx="2">
                  <c:v>0</c:v>
                </c:pt>
                <c:pt idx="3">
                  <c:v>0</c:v>
                </c:pt>
                <c:pt idx="4">
                  <c:v>34.200000000000003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224.2</c:v>
                </c:pt>
                <c:pt idx="11">
                  <c:v>0</c:v>
                </c:pt>
                <c:pt idx="12">
                  <c:v>518.79999999999995</c:v>
                </c:pt>
              </c:numCache>
            </c:numRef>
          </c:val>
        </c:ser>
        <c:ser>
          <c:idx val="14"/>
          <c:order val="12"/>
          <c:tx>
            <c:strRef>
              <c:f>'Data 2'!$B$141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'Data 2'!$C$141:$O$141</c:f>
              <c:numCache>
                <c:formatCode>#,##0.0</c:formatCode>
                <c:ptCount val="13"/>
                <c:pt idx="0">
                  <c:v>1985.9</c:v>
                </c:pt>
                <c:pt idx="1">
                  <c:v>1136.7</c:v>
                </c:pt>
                <c:pt idx="2">
                  <c:v>36.6</c:v>
                </c:pt>
                <c:pt idx="3">
                  <c:v>211.7</c:v>
                </c:pt>
                <c:pt idx="4">
                  <c:v>399.9</c:v>
                </c:pt>
                <c:pt idx="5">
                  <c:v>347.6</c:v>
                </c:pt>
                <c:pt idx="6">
                  <c:v>619.4</c:v>
                </c:pt>
                <c:pt idx="7">
                  <c:v>462.2</c:v>
                </c:pt>
                <c:pt idx="8">
                  <c:v>1542.2</c:v>
                </c:pt>
                <c:pt idx="9">
                  <c:v>110.8</c:v>
                </c:pt>
                <c:pt idx="10">
                  <c:v>474.7</c:v>
                </c:pt>
                <c:pt idx="11">
                  <c:v>879</c:v>
                </c:pt>
                <c:pt idx="12">
                  <c:v>108.8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777848"/>
        <c:axId val="344778240"/>
      </c:barChart>
      <c:lineChart>
        <c:grouping val="standard"/>
        <c:varyColors val="0"/>
        <c:ser>
          <c:idx val="1"/>
          <c:order val="13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2'!$C$147:$O$147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2"/>
          <c:order val="14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2'!$C$146:$O$146</c:f>
              <c:numCache>
                <c:formatCode>#,##0.0</c:formatCode>
                <c:ptCount val="13"/>
                <c:pt idx="0">
                  <c:v>14.3992637955</c:v>
                </c:pt>
                <c:pt idx="1">
                  <c:v>25.761619400699999</c:v>
                </c:pt>
                <c:pt idx="2">
                  <c:v>8.3765287804999993</c:v>
                </c:pt>
                <c:pt idx="3">
                  <c:v>14.8942357269</c:v>
                </c:pt>
                <c:pt idx="4">
                  <c:v>28.596647239399999</c:v>
                </c:pt>
                <c:pt idx="5">
                  <c:v>33.966924844499999</c:v>
                </c:pt>
                <c:pt idx="6">
                  <c:v>38.3508465484</c:v>
                </c:pt>
                <c:pt idx="7">
                  <c:v>37.917982149499998</c:v>
                </c:pt>
                <c:pt idx="8">
                  <c:v>45.532258665800001</c:v>
                </c:pt>
                <c:pt idx="9">
                  <c:v>12.5385350232</c:v>
                </c:pt>
                <c:pt idx="10">
                  <c:v>19.789182138600001</c:v>
                </c:pt>
                <c:pt idx="11">
                  <c:v>28.9232389487</c:v>
                </c:pt>
                <c:pt idx="12">
                  <c:v>34.613184598099998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436496"/>
        <c:axId val="344778632"/>
      </c:lineChart>
      <c:catAx>
        <c:axId val="34477784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344778240"/>
        <c:crosses val="autoZero"/>
        <c:auto val="1"/>
        <c:lblAlgn val="ctr"/>
        <c:lblOffset val="100"/>
        <c:noMultiLvlLbl val="0"/>
      </c:catAx>
      <c:valAx>
        <c:axId val="344778240"/>
        <c:scaling>
          <c:orientation val="maxMin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777848"/>
        <c:crosses val="autoZero"/>
        <c:crossBetween val="between"/>
        <c:majorUnit val="20000"/>
        <c:dispUnits>
          <c:builtInUnit val="thousands"/>
        </c:dispUnits>
      </c:valAx>
      <c:valAx>
        <c:axId val="344778632"/>
        <c:scaling>
          <c:orientation val="maxMin"/>
          <c:max val="18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36496"/>
        <c:crosses val="max"/>
        <c:crossBetween val="between"/>
        <c:majorUnit val="30"/>
      </c:valAx>
      <c:catAx>
        <c:axId val="34543649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4778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7533577533589E-2"/>
          <c:y val="0.84929466886657845"/>
          <c:w val="0.92413726733086343"/>
          <c:h val="0.15070527097253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2'!$B$116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2'!$C$116:$O$116</c:f>
              <c:numCache>
                <c:formatCode>#,##0.0</c:formatCode>
                <c:ptCount val="13"/>
                <c:pt idx="0">
                  <c:v>3569.6</c:v>
                </c:pt>
                <c:pt idx="1">
                  <c:v>5205</c:v>
                </c:pt>
                <c:pt idx="2">
                  <c:v>210</c:v>
                </c:pt>
                <c:pt idx="3">
                  <c:v>2091.8000000000002</c:v>
                </c:pt>
                <c:pt idx="4">
                  <c:v>456.3</c:v>
                </c:pt>
                <c:pt idx="5">
                  <c:v>53.4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6150</c:v>
                </c:pt>
                <c:pt idx="10">
                  <c:v>0</c:v>
                </c:pt>
                <c:pt idx="11">
                  <c:v>610</c:v>
                </c:pt>
                <c:pt idx="12">
                  <c:v>70</c:v>
                </c:pt>
              </c:numCache>
            </c:numRef>
          </c:val>
        </c:ser>
        <c:ser>
          <c:idx val="4"/>
          <c:order val="1"/>
          <c:tx>
            <c:strRef>
              <c:f>'Data 2'!$B$117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2'!$C$117:$O$117</c:f>
              <c:numCache>
                <c:formatCode>#,##0.0</c:formatCode>
                <c:ptCount val="13"/>
                <c:pt idx="0">
                  <c:v>19753.8</c:v>
                </c:pt>
                <c:pt idx="1">
                  <c:v>22612.799999999999</c:v>
                </c:pt>
                <c:pt idx="2">
                  <c:v>7404.2</c:v>
                </c:pt>
                <c:pt idx="3">
                  <c:v>20206</c:v>
                </c:pt>
                <c:pt idx="4">
                  <c:v>18024.599999999999</c:v>
                </c:pt>
                <c:pt idx="5">
                  <c:v>23642.3</c:v>
                </c:pt>
                <c:pt idx="6">
                  <c:v>27130.5</c:v>
                </c:pt>
                <c:pt idx="7">
                  <c:v>9410.5</c:v>
                </c:pt>
                <c:pt idx="8">
                  <c:v>25945.3</c:v>
                </c:pt>
                <c:pt idx="9">
                  <c:v>9508.4</c:v>
                </c:pt>
                <c:pt idx="10">
                  <c:v>19740.7</c:v>
                </c:pt>
                <c:pt idx="11">
                  <c:v>6714.7</c:v>
                </c:pt>
                <c:pt idx="12">
                  <c:v>3116.9</c:v>
                </c:pt>
              </c:numCache>
            </c:numRef>
          </c:val>
        </c:ser>
        <c:ser>
          <c:idx val="5"/>
          <c:order val="2"/>
          <c:tx>
            <c:strRef>
              <c:f>'Data 2'!$B$118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2'!$C$118:$O$118</c:f>
              <c:numCache>
                <c:formatCode>#,##0.0</c:formatCode>
                <c:ptCount val="13"/>
                <c:pt idx="0">
                  <c:v>10.4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3"/>
          <c:tx>
            <c:strRef>
              <c:f>'Data 2'!$B$119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2'!$C$119:$O$119</c:f>
              <c:numCache>
                <c:formatCode>#,##0.0</c:formatCode>
                <c:ptCount val="13"/>
                <c:pt idx="0">
                  <c:v>3695</c:v>
                </c:pt>
                <c:pt idx="1">
                  <c:v>5244.3</c:v>
                </c:pt>
                <c:pt idx="2">
                  <c:v>326.10000000000002</c:v>
                </c:pt>
                <c:pt idx="3">
                  <c:v>273.8</c:v>
                </c:pt>
                <c:pt idx="4">
                  <c:v>521.1</c:v>
                </c:pt>
                <c:pt idx="5">
                  <c:v>1821.5</c:v>
                </c:pt>
                <c:pt idx="6">
                  <c:v>1183.5</c:v>
                </c:pt>
                <c:pt idx="7">
                  <c:v>701.1</c:v>
                </c:pt>
                <c:pt idx="8">
                  <c:v>3031.3</c:v>
                </c:pt>
                <c:pt idx="9">
                  <c:v>1469.4</c:v>
                </c:pt>
                <c:pt idx="10">
                  <c:v>1177.9000000000001</c:v>
                </c:pt>
                <c:pt idx="11">
                  <c:v>1740</c:v>
                </c:pt>
                <c:pt idx="12">
                  <c:v>762.7</c:v>
                </c:pt>
              </c:numCache>
            </c:numRef>
          </c:val>
        </c:ser>
        <c:ser>
          <c:idx val="7"/>
          <c:order val="4"/>
          <c:tx>
            <c:strRef>
              <c:f>'Data 2'!$B$120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2'!$C$120:$O$120</c:f>
              <c:numCache>
                <c:formatCode>#,##0.0</c:formatCode>
                <c:ptCount val="13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279.8</c:v>
                </c:pt>
                <c:pt idx="5">
                  <c:v>200.8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20.399999999999999</c:v>
                </c:pt>
                <c:pt idx="11">
                  <c:v>132.6</c:v>
                </c:pt>
                <c:pt idx="12">
                  <c:v>846.6</c:v>
                </c:pt>
              </c:numCache>
            </c:numRef>
          </c:val>
        </c:ser>
        <c:ser>
          <c:idx val="8"/>
          <c:order val="5"/>
          <c:tx>
            <c:strRef>
              <c:f>'Data 2'!$B$121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2'!$C$121:$O$121</c:f>
              <c:numCache>
                <c:formatCode>#,##0.0</c:formatCode>
                <c:ptCount val="13"/>
                <c:pt idx="0">
                  <c:v>1500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43.7</c:v>
                </c:pt>
                <c:pt idx="11">
                  <c:v>93.7</c:v>
                </c:pt>
                <c:pt idx="12">
                  <c:v>0</c:v>
                </c:pt>
              </c:numCache>
            </c:numRef>
          </c:val>
        </c:ser>
        <c:ser>
          <c:idx val="9"/>
          <c:order val="6"/>
          <c:tx>
            <c:strRef>
              <c:f>'Data 2'!$B$122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2'!$C$122:$O$122</c:f>
              <c:numCache>
                <c:formatCode>#,##0.0</c:formatCode>
                <c:ptCount val="13"/>
                <c:pt idx="0">
                  <c:v>196.5</c:v>
                </c:pt>
                <c:pt idx="1">
                  <c:v>1878.6</c:v>
                </c:pt>
                <c:pt idx="2">
                  <c:v>195.5</c:v>
                </c:pt>
                <c:pt idx="3">
                  <c:v>0</c:v>
                </c:pt>
                <c:pt idx="4">
                  <c:v>0</c:v>
                </c:pt>
                <c:pt idx="5">
                  <c:v>661</c:v>
                </c:pt>
                <c:pt idx="6">
                  <c:v>312.10000000000002</c:v>
                </c:pt>
                <c:pt idx="7">
                  <c:v>2449.9</c:v>
                </c:pt>
                <c:pt idx="8">
                  <c:v>733.3</c:v>
                </c:pt>
                <c:pt idx="9">
                  <c:v>198</c:v>
                </c:pt>
                <c:pt idx="10">
                  <c:v>849.6</c:v>
                </c:pt>
                <c:pt idx="11">
                  <c:v>0</c:v>
                </c:pt>
                <c:pt idx="12">
                  <c:v>410</c:v>
                </c:pt>
              </c:numCache>
            </c:numRef>
          </c:val>
        </c:ser>
        <c:ser>
          <c:idx val="10"/>
          <c:order val="7"/>
          <c:tx>
            <c:strRef>
              <c:f>'Data 2'!$B$123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2'!$C$123:$O$123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11465.7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2463.6</c:v>
                </c:pt>
                <c:pt idx="10">
                  <c:v>0</c:v>
                </c:pt>
                <c:pt idx="11">
                  <c:v>4549.7</c:v>
                </c:pt>
                <c:pt idx="12">
                  <c:v>0</c:v>
                </c:pt>
              </c:numCache>
            </c:numRef>
          </c:val>
        </c:ser>
        <c:ser>
          <c:idx val="11"/>
          <c:order val="8"/>
          <c:tx>
            <c:strRef>
              <c:f>'Data 2'!$B$124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808000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2'!$C$124:$O$124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9"/>
          <c:tx>
            <c:strRef>
              <c:f>'Data 2'!$B$125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2'!$C$125:$O$125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3"/>
          <c:order val="10"/>
          <c:tx>
            <c:strRef>
              <c:f>'Data 2'!$B$126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2'!$C$126:$O$126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4"/>
          <c:order val="11"/>
          <c:tx>
            <c:strRef>
              <c:f>'Data 2'!$B$127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2'!$C$127:$O$127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5"/>
          <c:order val="12"/>
          <c:tx>
            <c:strRef>
              <c:f>'Data 2'!$B$128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2'!$C$128:$O$128</c:f>
              <c:numCache>
                <c:formatCode>#,##0.0</c:formatCode>
                <c:ptCount val="13"/>
                <c:pt idx="0">
                  <c:v>8519.5</c:v>
                </c:pt>
                <c:pt idx="1">
                  <c:v>7187.7</c:v>
                </c:pt>
                <c:pt idx="2">
                  <c:v>525.79999999999995</c:v>
                </c:pt>
                <c:pt idx="3">
                  <c:v>2688.1</c:v>
                </c:pt>
                <c:pt idx="4">
                  <c:v>1707.9</c:v>
                </c:pt>
                <c:pt idx="5">
                  <c:v>4580.3999999999996</c:v>
                </c:pt>
                <c:pt idx="6">
                  <c:v>6456</c:v>
                </c:pt>
                <c:pt idx="7">
                  <c:v>12070.5</c:v>
                </c:pt>
                <c:pt idx="8">
                  <c:v>4804</c:v>
                </c:pt>
                <c:pt idx="9">
                  <c:v>2519.6999999999998</c:v>
                </c:pt>
                <c:pt idx="10">
                  <c:v>6709.7</c:v>
                </c:pt>
                <c:pt idx="11">
                  <c:v>7385.9</c:v>
                </c:pt>
                <c:pt idx="12">
                  <c:v>1489.3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5437280"/>
        <c:axId val="345437672"/>
      </c:barChart>
      <c:lineChart>
        <c:grouping val="standard"/>
        <c:varyColors val="0"/>
        <c:ser>
          <c:idx val="2"/>
          <c:order val="13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2'!$C$145:$O$145</c:f>
              <c:numCache>
                <c:formatCode>#,##0.0</c:formatCode>
                <c:ptCount val="13"/>
                <c:pt idx="0">
                  <c:v>85.641688235700002</c:v>
                </c:pt>
                <c:pt idx="1">
                  <c:v>72.567504581199998</c:v>
                </c:pt>
                <c:pt idx="2">
                  <c:v>57.729230165300002</c:v>
                </c:pt>
                <c:pt idx="3">
                  <c:v>79.770314770200002</c:v>
                </c:pt>
                <c:pt idx="4">
                  <c:v>121.30970936609999</c:v>
                </c:pt>
                <c:pt idx="5">
                  <c:v>134.83571758439999</c:v>
                </c:pt>
                <c:pt idx="6">
                  <c:v>133.8397772653</c:v>
                </c:pt>
                <c:pt idx="7">
                  <c:v>113.31356325110001</c:v>
                </c:pt>
                <c:pt idx="8">
                  <c:v>162.96642019590001</c:v>
                </c:pt>
                <c:pt idx="9">
                  <c:v>103.35827039190001</c:v>
                </c:pt>
                <c:pt idx="10">
                  <c:v>110.2333782116</c:v>
                </c:pt>
                <c:pt idx="11">
                  <c:v>83.828092822599999</c:v>
                </c:pt>
                <c:pt idx="12">
                  <c:v>118.2418215391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438456"/>
        <c:axId val="345438064"/>
      </c:lineChart>
      <c:catAx>
        <c:axId val="34543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37672"/>
        <c:crosses val="autoZero"/>
        <c:auto val="1"/>
        <c:lblAlgn val="ctr"/>
        <c:lblOffset val="100"/>
        <c:noMultiLvlLbl val="0"/>
      </c:catAx>
      <c:valAx>
        <c:axId val="345437672"/>
        <c:scaling>
          <c:orientation val="minMax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37280"/>
        <c:crosses val="autoZero"/>
        <c:crossBetween val="between"/>
        <c:majorUnit val="20000"/>
        <c:dispUnits>
          <c:builtInUnit val="thousands"/>
        </c:dispUnits>
      </c:valAx>
      <c:valAx>
        <c:axId val="345438064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38456"/>
        <c:crosses val="max"/>
        <c:crossBetween val="between"/>
        <c:majorUnit val="30"/>
      </c:valAx>
      <c:catAx>
        <c:axId val="345438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5438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78346448125537E-2"/>
          <c:y val="0.10511047672825757"/>
          <c:w val="0.90515649526328479"/>
          <c:h val="0.77533770430090676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'Data 2'!$B$162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'M14'!$O$4:$AA$4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2'!$C$162:$O$162</c:f>
              <c:numCache>
                <c:formatCode>#,##0.0</c:formatCode>
                <c:ptCount val="13"/>
                <c:pt idx="0">
                  <c:v>115140.8</c:v>
                </c:pt>
                <c:pt idx="1">
                  <c:v>1863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34726.1</c:v>
                </c:pt>
                <c:pt idx="6">
                  <c:v>23135.1</c:v>
                </c:pt>
                <c:pt idx="7">
                  <c:v>5215.5</c:v>
                </c:pt>
                <c:pt idx="8">
                  <c:v>5325.4</c:v>
                </c:pt>
                <c:pt idx="9">
                  <c:v>1383.6</c:v>
                </c:pt>
                <c:pt idx="10">
                  <c:v>6612.9</c:v>
                </c:pt>
                <c:pt idx="11">
                  <c:v>3055</c:v>
                </c:pt>
                <c:pt idx="12">
                  <c:v>341</c:v>
                </c:pt>
              </c:numCache>
            </c:numRef>
          </c:val>
        </c:ser>
        <c:ser>
          <c:idx val="5"/>
          <c:order val="2"/>
          <c:tx>
            <c:strRef>
              <c:f>'Data 2'!$B$163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'M14'!$O$4:$AA$4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2'!$C$163:$O$163</c:f>
              <c:numCache>
                <c:formatCode>#,##0.0</c:formatCode>
                <c:ptCount val="13"/>
                <c:pt idx="0">
                  <c:v>176958.3</c:v>
                </c:pt>
                <c:pt idx="1">
                  <c:v>1250.7</c:v>
                </c:pt>
                <c:pt idx="2">
                  <c:v>0</c:v>
                </c:pt>
                <c:pt idx="3">
                  <c:v>0</c:v>
                </c:pt>
                <c:pt idx="4">
                  <c:v>19356.8</c:v>
                </c:pt>
                <c:pt idx="5">
                  <c:v>332294.3</c:v>
                </c:pt>
                <c:pt idx="6">
                  <c:v>196729.3</c:v>
                </c:pt>
                <c:pt idx="7">
                  <c:v>112859.3</c:v>
                </c:pt>
                <c:pt idx="8">
                  <c:v>179227.5</c:v>
                </c:pt>
                <c:pt idx="9">
                  <c:v>10714</c:v>
                </c:pt>
                <c:pt idx="10">
                  <c:v>64802.400000000001</c:v>
                </c:pt>
                <c:pt idx="11">
                  <c:v>6101.5</c:v>
                </c:pt>
                <c:pt idx="12">
                  <c:v>2659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5439240"/>
        <c:axId val="345439632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2'!$B$161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2'!$C$161:$O$161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2'!$B$164</c15:sqref>
                        </c15:formulaRef>
                      </c:ext>
                    </c:extLst>
                    <c:strCache>
                      <c:ptCount val="1"/>
                      <c:pt idx="0">
                        <c:v>Cogeneración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2'!$C$164:$O$164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2'!$B$165</c15:sqref>
                        </c15:formulaRef>
                      </c:ext>
                    </c:extLst>
                    <c:strCache>
                      <c:ptCount val="1"/>
                      <c:pt idx="0">
                        <c:v>Consumo Bombeo</c:v>
                      </c:pt>
                    </c:strCache>
                  </c:strRef>
                </c:tx>
                <c:spPr>
                  <a:solidFill>
                    <a:srgbClr val="FF33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J</c:v>
                      </c:pt>
                      <c:pt idx="2">
                        <c:v>J</c:v>
                      </c:pt>
                      <c:pt idx="3">
                        <c:v>A</c:v>
                      </c:pt>
                      <c:pt idx="4">
                        <c:v>S</c:v>
                      </c:pt>
                      <c:pt idx="5">
                        <c:v>O</c:v>
                      </c:pt>
                      <c:pt idx="6">
                        <c:v>N</c:v>
                      </c:pt>
                      <c:pt idx="7">
                        <c:v>D</c:v>
                      </c:pt>
                      <c:pt idx="8">
                        <c:v>E</c:v>
                      </c:pt>
                      <c:pt idx="9">
                        <c:v>F</c:v>
                      </c:pt>
                      <c:pt idx="10">
                        <c:v>M</c:v>
                      </c:pt>
                      <c:pt idx="11">
                        <c:v>A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2'!$C$165:$O$165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8"/>
          <c:order val="5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2'!$C$177:$O$177</c:f>
              <c:numCache>
                <c:formatCode>#,##0.0</c:formatCode>
                <c:ptCount val="13"/>
                <c:pt idx="0">
                  <c:v>21.121754141</c:v>
                </c:pt>
                <c:pt idx="1">
                  <c:v>15.35</c:v>
                </c:pt>
                <c:pt idx="2">
                  <c:v>0</c:v>
                </c:pt>
                <c:pt idx="3">
                  <c:v>0</c:v>
                </c:pt>
                <c:pt idx="4">
                  <c:v>24.2165715408</c:v>
                </c:pt>
                <c:pt idx="5">
                  <c:v>14.4084291718</c:v>
                </c:pt>
                <c:pt idx="6">
                  <c:v>14.1181241984</c:v>
                </c:pt>
                <c:pt idx="7">
                  <c:v>14.4011663454</c:v>
                </c:pt>
                <c:pt idx="8">
                  <c:v>35.2700287993</c:v>
                </c:pt>
                <c:pt idx="9">
                  <c:v>27.787926530899998</c:v>
                </c:pt>
                <c:pt idx="10">
                  <c:v>22.1695571817</c:v>
                </c:pt>
                <c:pt idx="11">
                  <c:v>20</c:v>
                </c:pt>
                <c:pt idx="1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029544"/>
        <c:axId val="345440024"/>
      </c:lineChart>
      <c:catAx>
        <c:axId val="345439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39632"/>
        <c:crosses val="autoZero"/>
        <c:auto val="1"/>
        <c:lblAlgn val="ctr"/>
        <c:lblOffset val="100"/>
        <c:noMultiLvlLbl val="0"/>
      </c:catAx>
      <c:valAx>
        <c:axId val="3454396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1.2833820249434932E-2"/>
              <c:y val="3.65352956395150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39240"/>
        <c:crosses val="autoZero"/>
        <c:crossBetween val="between"/>
        <c:dispUnits>
          <c:builtInUnit val="thousands"/>
        </c:dispUnits>
      </c:valAx>
      <c:valAx>
        <c:axId val="34544002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74339045148059"/>
              <c:y val="2.7278613067939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029544"/>
        <c:crosses val="max"/>
        <c:crossBetween val="between"/>
      </c:valAx>
      <c:catAx>
        <c:axId val="344029544"/>
        <c:scaling>
          <c:orientation val="minMax"/>
        </c:scaling>
        <c:delete val="1"/>
        <c:axPos val="b"/>
        <c:majorTickMark val="out"/>
        <c:minorTickMark val="none"/>
        <c:tickLblPos val="nextTo"/>
        <c:crossAx val="345440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69817769982025"/>
          <c:y val="0.94523223807701795"/>
          <c:w val="0.39065857136919097"/>
          <c:h val="5.155197415755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 paperSize="9" orientation="landscape" horizontalDpi="355" verticalDpi="355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1'!$C$43:$C$44</c:f>
              <c:strCache>
                <c:ptCount val="2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1'!$C$45:$C$57</c:f>
              <c:numCache>
                <c:formatCode>0.0</c:formatCode>
                <c:ptCount val="13"/>
                <c:pt idx="0">
                  <c:v>34.117383512544805</c:v>
                </c:pt>
                <c:pt idx="1">
                  <c:v>37.754629629629633</c:v>
                </c:pt>
                <c:pt idx="2">
                  <c:v>29.950716845878134</c:v>
                </c:pt>
                <c:pt idx="3">
                  <c:v>33.590949820788524</c:v>
                </c:pt>
                <c:pt idx="4">
                  <c:v>42.210648148148145</c:v>
                </c:pt>
                <c:pt idx="5">
                  <c:v>41.55465949820789</c:v>
                </c:pt>
                <c:pt idx="6">
                  <c:v>31.087962962962962</c:v>
                </c:pt>
                <c:pt idx="7">
                  <c:v>36.178315412186372</c:v>
                </c:pt>
                <c:pt idx="8">
                  <c:v>43.929211469534053</c:v>
                </c:pt>
                <c:pt idx="9">
                  <c:v>33.382936507936506</c:v>
                </c:pt>
                <c:pt idx="10">
                  <c:v>43.965903992821893</c:v>
                </c:pt>
                <c:pt idx="11">
                  <c:v>40.798611111111114</c:v>
                </c:pt>
                <c:pt idx="12">
                  <c:v>40.143369175627242</c:v>
                </c:pt>
              </c:numCache>
            </c:numRef>
          </c:val>
        </c:ser>
        <c:ser>
          <c:idx val="1"/>
          <c:order val="1"/>
          <c:tx>
            <c:strRef>
              <c:f>'Data 1'!$D$43:$D$44</c:f>
              <c:strCache>
                <c:ptCount val="2"/>
                <c:pt idx="0">
                  <c:v>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1'!$D$45:$D$57</c:f>
              <c:numCache>
                <c:formatCode>0.0</c:formatCode>
                <c:ptCount val="13"/>
                <c:pt idx="0">
                  <c:v>22.647849462365592</c:v>
                </c:pt>
                <c:pt idx="1">
                  <c:v>12.592592592592593</c:v>
                </c:pt>
                <c:pt idx="2">
                  <c:v>6.2275985663082425</c:v>
                </c:pt>
                <c:pt idx="3">
                  <c:v>5.5891577060931903</c:v>
                </c:pt>
                <c:pt idx="4">
                  <c:v>5.9027777777777777</c:v>
                </c:pt>
                <c:pt idx="5">
                  <c:v>7.5716845878136194</c:v>
                </c:pt>
                <c:pt idx="6">
                  <c:v>9.2592592592592613</c:v>
                </c:pt>
                <c:pt idx="7">
                  <c:v>9.408602150537634</c:v>
                </c:pt>
                <c:pt idx="8">
                  <c:v>7.3028673835125444</c:v>
                </c:pt>
                <c:pt idx="9">
                  <c:v>13.640873015873014</c:v>
                </c:pt>
                <c:pt idx="10">
                  <c:v>14.984297891431133</c:v>
                </c:pt>
                <c:pt idx="11">
                  <c:v>13.738425925925924</c:v>
                </c:pt>
                <c:pt idx="12">
                  <c:v>11.559139784946236</c:v>
                </c:pt>
              </c:numCache>
            </c:numRef>
          </c:val>
        </c:ser>
        <c:ser>
          <c:idx val="2"/>
          <c:order val="2"/>
          <c:tx>
            <c:strRef>
              <c:f>'Data 1'!$E$43:$E$44</c:f>
              <c:strCache>
                <c:ptCount val="2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1'!$E$45:$E$57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3"/>
          <c:tx>
            <c:strRef>
              <c:f>'Data 1'!$F$43:$F$44</c:f>
              <c:strCache>
                <c:ptCount val="2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1'!$F$45:$F$57</c:f>
              <c:numCache>
                <c:formatCode>0.0</c:formatCode>
                <c:ptCount val="13"/>
                <c:pt idx="0">
                  <c:v>0.53763440860215062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0.29761904761904762</c:v>
                </c:pt>
                <c:pt idx="10">
                  <c:v>0.13458950201884254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4"/>
          <c:tx>
            <c:strRef>
              <c:f>'Data 1'!$G$43:$G$44</c:f>
              <c:strCache>
                <c:ptCount val="2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1'!$G$45:$G$57</c:f>
              <c:numCache>
                <c:formatCode>0.0</c:formatCode>
                <c:ptCount val="13"/>
                <c:pt idx="0">
                  <c:v>1.2320788530465949</c:v>
                </c:pt>
                <c:pt idx="1">
                  <c:v>6.7592592592592595</c:v>
                </c:pt>
                <c:pt idx="2">
                  <c:v>15.636200716845877</c:v>
                </c:pt>
                <c:pt idx="3">
                  <c:v>12.26478494623656</c:v>
                </c:pt>
                <c:pt idx="4">
                  <c:v>8.3912037037037042</c:v>
                </c:pt>
                <c:pt idx="5">
                  <c:v>8.4677419354838701</c:v>
                </c:pt>
                <c:pt idx="6">
                  <c:v>13.495370370370372</c:v>
                </c:pt>
                <c:pt idx="7">
                  <c:v>12.522401433691757</c:v>
                </c:pt>
                <c:pt idx="8">
                  <c:v>12.253584229390679</c:v>
                </c:pt>
                <c:pt idx="9">
                  <c:v>6.820436507936507</c:v>
                </c:pt>
                <c:pt idx="10">
                  <c:v>6.303275011215792</c:v>
                </c:pt>
                <c:pt idx="11">
                  <c:v>4.583333333333333</c:v>
                </c:pt>
                <c:pt idx="12">
                  <c:v>12.186379928315411</c:v>
                </c:pt>
              </c:numCache>
            </c:numRef>
          </c:val>
        </c:ser>
        <c:ser>
          <c:idx val="5"/>
          <c:order val="5"/>
          <c:tx>
            <c:strRef>
              <c:f>'Data 1'!$H$43:$H$44</c:f>
              <c:strCache>
                <c:ptCount val="2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1'!$H$45:$H$57</c:f>
              <c:numCache>
                <c:formatCode>0.0</c:formatCode>
                <c:ptCount val="13"/>
                <c:pt idx="0">
                  <c:v>5.6451612903225801</c:v>
                </c:pt>
                <c:pt idx="1">
                  <c:v>17.314814814814817</c:v>
                </c:pt>
                <c:pt idx="2">
                  <c:v>26.478494623655912</c:v>
                </c:pt>
                <c:pt idx="3">
                  <c:v>24.596774193548391</c:v>
                </c:pt>
                <c:pt idx="4">
                  <c:v>23.541666666666671</c:v>
                </c:pt>
                <c:pt idx="5">
                  <c:v>22.468637992831539</c:v>
                </c:pt>
                <c:pt idx="6">
                  <c:v>27.361111111111114</c:v>
                </c:pt>
                <c:pt idx="7">
                  <c:v>24.193548387096776</c:v>
                </c:pt>
                <c:pt idx="8">
                  <c:v>16.50985663082437</c:v>
                </c:pt>
                <c:pt idx="9">
                  <c:v>23.883928571428573</c:v>
                </c:pt>
                <c:pt idx="10">
                  <c:v>12.943023777478688</c:v>
                </c:pt>
                <c:pt idx="11">
                  <c:v>16.93287037037037</c:v>
                </c:pt>
                <c:pt idx="12">
                  <c:v>20.228494623655912</c:v>
                </c:pt>
              </c:numCache>
            </c:numRef>
          </c:val>
        </c:ser>
        <c:ser>
          <c:idx val="6"/>
          <c:order val="6"/>
          <c:tx>
            <c:strRef>
              <c:f>'Data 1'!$I$43:$I$44</c:f>
              <c:strCache>
                <c:ptCount val="2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1'!$I$45:$I$57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'Data 1'!$J$43:$J$44</c:f>
              <c:strCache>
                <c:ptCount val="2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1'!$J$45:$J$57</c:f>
              <c:numCache>
                <c:formatCode>0.0</c:formatCode>
                <c:ptCount val="13"/>
                <c:pt idx="0">
                  <c:v>35.81989247311828</c:v>
                </c:pt>
                <c:pt idx="1">
                  <c:v>25.578703703703699</c:v>
                </c:pt>
                <c:pt idx="2">
                  <c:v>21.706989247311832</c:v>
                </c:pt>
                <c:pt idx="3">
                  <c:v>23.958333333333336</c:v>
                </c:pt>
                <c:pt idx="4">
                  <c:v>19.953703703703702</c:v>
                </c:pt>
                <c:pt idx="5">
                  <c:v>19.937275985663085</c:v>
                </c:pt>
                <c:pt idx="6">
                  <c:v>18.796296296296294</c:v>
                </c:pt>
                <c:pt idx="7">
                  <c:v>17.697132616487458</c:v>
                </c:pt>
                <c:pt idx="8">
                  <c:v>20.004480286738353</c:v>
                </c:pt>
                <c:pt idx="9">
                  <c:v>21.974206349206348</c:v>
                </c:pt>
                <c:pt idx="10">
                  <c:v>21.668909825033648</c:v>
                </c:pt>
                <c:pt idx="11">
                  <c:v>23.94675925925926</c:v>
                </c:pt>
                <c:pt idx="12">
                  <c:v>15.882616487455195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550472"/>
        <c:axId val="341874568"/>
      </c:barChart>
      <c:catAx>
        <c:axId val="34255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1874568"/>
        <c:crosses val="autoZero"/>
        <c:auto val="1"/>
        <c:lblAlgn val="ctr"/>
        <c:lblOffset val="100"/>
        <c:noMultiLvlLbl val="0"/>
      </c:catAx>
      <c:valAx>
        <c:axId val="3418745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255047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1'!$E$60:$E$61</c:f>
              <c:strCache>
                <c:ptCount val="2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1'!$E$62:$E$74</c:f>
              <c:numCache>
                <c:formatCode>0.00</c:formatCode>
                <c:ptCount val="13"/>
                <c:pt idx="0">
                  <c:v>26.74</c:v>
                </c:pt>
                <c:pt idx="1">
                  <c:v>39.299999999999997</c:v>
                </c:pt>
                <c:pt idx="2">
                  <c:v>41.06</c:v>
                </c:pt>
                <c:pt idx="3">
                  <c:v>41.620000000000005</c:v>
                </c:pt>
                <c:pt idx="4">
                  <c:v>44.17</c:v>
                </c:pt>
                <c:pt idx="5">
                  <c:v>53.78</c:v>
                </c:pt>
                <c:pt idx="6">
                  <c:v>57.41</c:v>
                </c:pt>
                <c:pt idx="7">
                  <c:v>61.87</c:v>
                </c:pt>
                <c:pt idx="8">
                  <c:v>73.58</c:v>
                </c:pt>
                <c:pt idx="9">
                  <c:v>53.05</c:v>
                </c:pt>
                <c:pt idx="10">
                  <c:v>43.94</c:v>
                </c:pt>
                <c:pt idx="11">
                  <c:v>44.2</c:v>
                </c:pt>
                <c:pt idx="12">
                  <c:v>47.6</c:v>
                </c:pt>
              </c:numCache>
            </c:numRef>
          </c:val>
        </c:ser>
        <c:ser>
          <c:idx val="1"/>
          <c:order val="1"/>
          <c:tx>
            <c:strRef>
              <c:f>'Data 1'!$F$60:$F$61</c:f>
              <c:strCache>
                <c:ptCount val="2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1'!$F$62:$F$74</c:f>
              <c:numCache>
                <c:formatCode>0.00</c:formatCode>
                <c:ptCount val="13"/>
                <c:pt idx="0">
                  <c:v>4.3599999999999994</c:v>
                </c:pt>
                <c:pt idx="1">
                  <c:v>2.5100000000000002</c:v>
                </c:pt>
                <c:pt idx="2">
                  <c:v>2.0299999999999998</c:v>
                </c:pt>
                <c:pt idx="3">
                  <c:v>2.4000000000000008</c:v>
                </c:pt>
                <c:pt idx="4">
                  <c:v>2.4600000000000004</c:v>
                </c:pt>
                <c:pt idx="5">
                  <c:v>3</c:v>
                </c:pt>
                <c:pt idx="6">
                  <c:v>1.9300000000000002</c:v>
                </c:pt>
                <c:pt idx="7">
                  <c:v>2.0899999999999994</c:v>
                </c:pt>
                <c:pt idx="8">
                  <c:v>2.9000000000000004</c:v>
                </c:pt>
                <c:pt idx="9">
                  <c:v>2.8400000000000003</c:v>
                </c:pt>
                <c:pt idx="10">
                  <c:v>3.19</c:v>
                </c:pt>
                <c:pt idx="11">
                  <c:v>3.2699999999999996</c:v>
                </c:pt>
                <c:pt idx="12">
                  <c:v>2.12</c:v>
                </c:pt>
              </c:numCache>
            </c:numRef>
          </c:val>
        </c:ser>
        <c:ser>
          <c:idx val="2"/>
          <c:order val="2"/>
          <c:tx>
            <c:strRef>
              <c:f>'Data 1'!$G$60:$G$61</c:f>
              <c:strCache>
                <c:ptCount val="2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1'!$G$62:$G$74</c:f>
              <c:numCache>
                <c:formatCode>0.00</c:formatCode>
                <c:ptCount val="13"/>
                <c:pt idx="0">
                  <c:v>2.4300000000000002</c:v>
                </c:pt>
                <c:pt idx="1">
                  <c:v>2.89</c:v>
                </c:pt>
                <c:pt idx="2">
                  <c:v>3.27</c:v>
                </c:pt>
                <c:pt idx="3">
                  <c:v>2.2200000000000002</c:v>
                </c:pt>
                <c:pt idx="4">
                  <c:v>2.54</c:v>
                </c:pt>
                <c:pt idx="5">
                  <c:v>2.37</c:v>
                </c:pt>
                <c:pt idx="6">
                  <c:v>2.5499999999999998</c:v>
                </c:pt>
                <c:pt idx="7">
                  <c:v>3.16</c:v>
                </c:pt>
                <c:pt idx="8">
                  <c:v>3.25</c:v>
                </c:pt>
                <c:pt idx="9">
                  <c:v>3.26</c:v>
                </c:pt>
                <c:pt idx="10">
                  <c:v>2.63</c:v>
                </c:pt>
                <c:pt idx="11">
                  <c:v>2.4500000000000002</c:v>
                </c:pt>
                <c:pt idx="12">
                  <c:v>2.4300000000000002</c:v>
                </c:pt>
              </c:numCache>
            </c:numRef>
          </c:val>
        </c:ser>
        <c:ser>
          <c:idx val="4"/>
          <c:order val="3"/>
          <c:tx>
            <c:strRef>
              <c:f>'Data 1'!$H$60:$H$61</c:f>
              <c:strCache>
                <c:ptCount val="2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1'!$H$62:$H$74</c:f>
              <c:numCache>
                <c:formatCode>0.00</c:formatCode>
                <c:ptCount val="13"/>
                <c:pt idx="0">
                  <c:v>2.0299999999999998</c:v>
                </c:pt>
                <c:pt idx="1">
                  <c:v>2</c:v>
                </c:pt>
                <c:pt idx="2">
                  <c:v>1.82</c:v>
                </c:pt>
                <c:pt idx="3">
                  <c:v>1.88</c:v>
                </c:pt>
                <c:pt idx="4">
                  <c:v>1.94</c:v>
                </c:pt>
                <c:pt idx="5">
                  <c:v>2.04</c:v>
                </c:pt>
                <c:pt idx="6">
                  <c:v>1.95</c:v>
                </c:pt>
                <c:pt idx="7">
                  <c:v>1.88</c:v>
                </c:pt>
                <c:pt idx="8">
                  <c:v>1.89</c:v>
                </c:pt>
                <c:pt idx="9">
                  <c:v>2.19</c:v>
                </c:pt>
                <c:pt idx="10">
                  <c:v>2.0699999999999998</c:v>
                </c:pt>
                <c:pt idx="11">
                  <c:v>2.31</c:v>
                </c:pt>
                <c:pt idx="12">
                  <c:v>2.17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8801888"/>
        <c:axId val="342708056"/>
      </c:barChart>
      <c:catAx>
        <c:axId val="1588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2708056"/>
        <c:crosses val="autoZero"/>
        <c:auto val="1"/>
        <c:lblAlgn val="ctr"/>
        <c:lblOffset val="100"/>
        <c:noMultiLvlLbl val="0"/>
      </c:catAx>
      <c:valAx>
        <c:axId val="3427080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8801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34692778787266"/>
          <c:y val="4.1666583290811646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4066480953684471"/>
                  <c:y val="-0.388966749645061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977961432506887"/>
                  <c:y val="6.358110330736582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1'!$E$77:$H$77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'Data 1'!$E$78:$H$78</c:f>
              <c:numCache>
                <c:formatCode>0.00</c:formatCode>
                <c:ptCount val="4"/>
                <c:pt idx="0">
                  <c:v>47.6</c:v>
                </c:pt>
                <c:pt idx="1">
                  <c:v>2.4300000000000002</c:v>
                </c:pt>
                <c:pt idx="2">
                  <c:v>2.17</c:v>
                </c:pt>
                <c:pt idx="3">
                  <c:v>2.12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1'!$B$82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1'!$C$82:$O$82</c:f>
              <c:numCache>
                <c:formatCode>#,##0.00</c:formatCode>
                <c:ptCount val="13"/>
                <c:pt idx="0">
                  <c:v>2.99</c:v>
                </c:pt>
                <c:pt idx="1">
                  <c:v>1.84</c:v>
                </c:pt>
                <c:pt idx="2">
                  <c:v>1.55</c:v>
                </c:pt>
                <c:pt idx="3">
                  <c:v>1.85</c:v>
                </c:pt>
                <c:pt idx="4">
                  <c:v>1.91</c:v>
                </c:pt>
                <c:pt idx="5">
                  <c:v>2.04</c:v>
                </c:pt>
                <c:pt idx="6">
                  <c:v>0.89</c:v>
                </c:pt>
                <c:pt idx="7">
                  <c:v>1.1299999999999999</c:v>
                </c:pt>
                <c:pt idx="8">
                  <c:v>1.48</c:v>
                </c:pt>
                <c:pt idx="9">
                  <c:v>1.82</c:v>
                </c:pt>
                <c:pt idx="10">
                  <c:v>2.2200000000000002</c:v>
                </c:pt>
                <c:pt idx="11">
                  <c:v>2.4</c:v>
                </c:pt>
                <c:pt idx="12">
                  <c:v>1.45</c:v>
                </c:pt>
              </c:numCache>
            </c:numRef>
          </c:val>
          <c:extLst/>
        </c:ser>
        <c:ser>
          <c:idx val="6"/>
          <c:order val="1"/>
          <c:tx>
            <c:strRef>
              <c:f>'Data 1'!$B$83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1'!$C$83:$O$83</c:f>
              <c:numCache>
                <c:formatCode>#,##0.00</c:formatCode>
                <c:ptCount val="13"/>
                <c:pt idx="0">
                  <c:v>0.13</c:v>
                </c:pt>
                <c:pt idx="1">
                  <c:v>0.1</c:v>
                </c:pt>
                <c:pt idx="2">
                  <c:v>0.03</c:v>
                </c:pt>
                <c:pt idx="3">
                  <c:v>7.0000000000000007E-2</c:v>
                </c:pt>
                <c:pt idx="4">
                  <c:v>0.09</c:v>
                </c:pt>
                <c:pt idx="5">
                  <c:v>0.21</c:v>
                </c:pt>
                <c:pt idx="6">
                  <c:v>0.16</c:v>
                </c:pt>
                <c:pt idx="7">
                  <c:v>0.13</c:v>
                </c:pt>
                <c:pt idx="8">
                  <c:v>0.17</c:v>
                </c:pt>
                <c:pt idx="9">
                  <c:v>0.23</c:v>
                </c:pt>
                <c:pt idx="10">
                  <c:v>0.14000000000000001</c:v>
                </c:pt>
                <c:pt idx="11">
                  <c:v>0.09</c:v>
                </c:pt>
                <c:pt idx="12">
                  <c:v>0.03</c:v>
                </c:pt>
              </c:numCache>
            </c:numRef>
          </c:val>
          <c:extLst/>
        </c:ser>
        <c:ser>
          <c:idx val="2"/>
          <c:order val="2"/>
          <c:tx>
            <c:strRef>
              <c:f>'Data 1'!$B$84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1'!$C$84:$O$84</c:f>
              <c:numCache>
                <c:formatCode>#,##0.00</c:formatCode>
                <c:ptCount val="13"/>
                <c:pt idx="0">
                  <c:v>0.3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0.25</c:v>
                </c:pt>
                <c:pt idx="6">
                  <c:v>0.15</c:v>
                </c:pt>
                <c:pt idx="7">
                  <c:v>0.08</c:v>
                </c:pt>
                <c:pt idx="8">
                  <c:v>0.27</c:v>
                </c:pt>
                <c:pt idx="9">
                  <c:v>0.02</c:v>
                </c:pt>
                <c:pt idx="10">
                  <c:v>7.0000000000000007E-2</c:v>
                </c:pt>
                <c:pt idx="11">
                  <c:v>0.01</c:v>
                </c:pt>
                <c:pt idx="12">
                  <c:v>0</c:v>
                </c:pt>
              </c:numCache>
            </c:numRef>
          </c:val>
          <c:extLst/>
        </c:ser>
        <c:ser>
          <c:idx val="1"/>
          <c:order val="3"/>
          <c:tx>
            <c:strRef>
              <c:f>'Data 1'!$B$85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1'!$C$85:$O$85</c:f>
              <c:numCache>
                <c:formatCode>#,##0.00</c:formatCode>
                <c:ptCount val="13"/>
                <c:pt idx="0">
                  <c:v>0.93</c:v>
                </c:pt>
                <c:pt idx="1">
                  <c:v>0.52</c:v>
                </c:pt>
                <c:pt idx="2">
                  <c:v>0.47</c:v>
                </c:pt>
                <c:pt idx="3">
                  <c:v>0.48</c:v>
                </c:pt>
                <c:pt idx="4">
                  <c:v>0.39</c:v>
                </c:pt>
                <c:pt idx="5">
                  <c:v>0.51</c:v>
                </c:pt>
                <c:pt idx="6">
                  <c:v>0.68</c:v>
                </c:pt>
                <c:pt idx="7">
                  <c:v>0.63</c:v>
                </c:pt>
                <c:pt idx="8">
                  <c:v>0.87</c:v>
                </c:pt>
                <c:pt idx="9">
                  <c:v>0.65</c:v>
                </c:pt>
                <c:pt idx="10">
                  <c:v>0.52</c:v>
                </c:pt>
                <c:pt idx="11">
                  <c:v>0.69</c:v>
                </c:pt>
                <c:pt idx="12">
                  <c:v>0.65</c:v>
                </c:pt>
              </c:numCache>
            </c:numRef>
          </c:val>
          <c:extLst/>
        </c:ser>
        <c:ser>
          <c:idx val="3"/>
          <c:order val="4"/>
          <c:tx>
            <c:strRef>
              <c:f>'Data 1'!$B$86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1'!$C$86:$O$86</c:f>
              <c:numCache>
                <c:formatCode>#,##0.00</c:formatCode>
                <c:ptCount val="13"/>
                <c:pt idx="0">
                  <c:v>0.15</c:v>
                </c:pt>
                <c:pt idx="1">
                  <c:v>0.17</c:v>
                </c:pt>
                <c:pt idx="2">
                  <c:v>0.11</c:v>
                </c:pt>
                <c:pt idx="3">
                  <c:v>0.12</c:v>
                </c:pt>
                <c:pt idx="4">
                  <c:v>0.18</c:v>
                </c:pt>
                <c:pt idx="5">
                  <c:v>0.13</c:v>
                </c:pt>
                <c:pt idx="6">
                  <c:v>0.24000000000000002</c:v>
                </c:pt>
                <c:pt idx="7">
                  <c:v>0.26</c:v>
                </c:pt>
                <c:pt idx="8">
                  <c:v>0.32999999999999996</c:v>
                </c:pt>
                <c:pt idx="9">
                  <c:v>0.31</c:v>
                </c:pt>
                <c:pt idx="10">
                  <c:v>0.3</c:v>
                </c:pt>
                <c:pt idx="11">
                  <c:v>0.21</c:v>
                </c:pt>
                <c:pt idx="12">
                  <c:v>9.9999999999999992E-2</c:v>
                </c:pt>
              </c:numCache>
            </c:numRef>
          </c:val>
          <c:extLst/>
        </c:ser>
        <c:ser>
          <c:idx val="5"/>
          <c:order val="5"/>
          <c:tx>
            <c:strRef>
              <c:f>'Data 1'!$B$87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1'!$C$87:$O$87</c:f>
              <c:numCache>
                <c:formatCode>#,##0.00</c:formatCode>
                <c:ptCount val="13"/>
                <c:pt idx="0">
                  <c:v>-7.0000000000000007E-2</c:v>
                </c:pt>
                <c:pt idx="1">
                  <c:v>-7.0000000000000007E-2</c:v>
                </c:pt>
                <c:pt idx="2">
                  <c:v>-0.08</c:v>
                </c:pt>
                <c:pt idx="3">
                  <c:v>-7.0000000000000007E-2</c:v>
                </c:pt>
                <c:pt idx="4">
                  <c:v>-0.08</c:v>
                </c:pt>
                <c:pt idx="5">
                  <c:v>-0.09</c:v>
                </c:pt>
                <c:pt idx="6">
                  <c:v>-0.13</c:v>
                </c:pt>
                <c:pt idx="7">
                  <c:v>-0.14000000000000001</c:v>
                </c:pt>
                <c:pt idx="8">
                  <c:v>-0.15000000000000002</c:v>
                </c:pt>
                <c:pt idx="9">
                  <c:v>-0.12</c:v>
                </c:pt>
                <c:pt idx="10">
                  <c:v>-0.06</c:v>
                </c:pt>
                <c:pt idx="11">
                  <c:v>-7.0000000000000007E-2</c:v>
                </c:pt>
                <c:pt idx="12">
                  <c:v>-0.06</c:v>
                </c:pt>
              </c:numCache>
            </c:numRef>
          </c:val>
          <c:extLst/>
        </c:ser>
        <c:ser>
          <c:idx val="7"/>
          <c:order val="6"/>
          <c:tx>
            <c:strRef>
              <c:f>'Data 1'!$B$88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1'!$C$88:$O$88</c:f>
              <c:numCache>
                <c:formatCode>0.00</c:formatCode>
                <c:ptCount val="13"/>
                <c:pt idx="0">
                  <c:v>-7.0000000000000007E-2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-0.06</c:v>
                </c:pt>
                <c:pt idx="7">
                  <c:v>0</c:v>
                </c:pt>
                <c:pt idx="8">
                  <c:v>-7.0000000000000007E-2</c:v>
                </c:pt>
                <c:pt idx="9">
                  <c:v>-7.0000000000000007E-2</c:v>
                </c:pt>
                <c:pt idx="10">
                  <c:v>0</c:v>
                </c:pt>
                <c:pt idx="11">
                  <c:v>-0.06</c:v>
                </c:pt>
                <c:pt idx="12">
                  <c:v>-0.05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711192"/>
        <c:axId val="342711584"/>
      </c:barChart>
      <c:catAx>
        <c:axId val="342711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271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711584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2711192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'Data 1'!$C$127:$C$128</c:f>
              <c:strCache>
                <c:ptCount val="2"/>
                <c:pt idx="0">
                  <c:v>2017</c:v>
                </c:pt>
                <c:pt idx="1">
                  <c:v>Mayo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1'!$B$129:$B$133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'Data 1'!$C$129:$C$133</c:f>
              <c:numCache>
                <c:formatCode>#,##0.00</c:formatCode>
                <c:ptCount val="5"/>
                <c:pt idx="0">
                  <c:v>1038.6560999999999</c:v>
                </c:pt>
                <c:pt idx="1">
                  <c:v>191.90902500000001</c:v>
                </c:pt>
                <c:pt idx="2">
                  <c:v>315.96159999999998</c:v>
                </c:pt>
                <c:pt idx="3">
                  <c:v>65.169399999999996</c:v>
                </c:pt>
                <c:pt idx="4">
                  <c:v>29.116199999999999</c:v>
                </c:pt>
              </c:numCache>
            </c:numRef>
          </c:val>
        </c:ser>
        <c:ser>
          <c:idx val="0"/>
          <c:order val="1"/>
          <c:tx>
            <c:strRef>
              <c:f>'Data 1'!$D$127:$D$128</c:f>
              <c:strCache>
                <c:ptCount val="2"/>
                <c:pt idx="0">
                  <c:v>2016</c:v>
                </c:pt>
                <c:pt idx="1">
                  <c:v>Mayo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1'!$B$129:$B$133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'Data 1'!$D$129:$D$133</c:f>
              <c:numCache>
                <c:formatCode>#,##0.00</c:formatCode>
                <c:ptCount val="5"/>
                <c:pt idx="0">
                  <c:v>1343.5868</c:v>
                </c:pt>
                <c:pt idx="1">
                  <c:v>240.04122100000001</c:v>
                </c:pt>
                <c:pt idx="2">
                  <c:v>354.4742</c:v>
                </c:pt>
                <c:pt idx="3">
                  <c:v>80.053200000000004</c:v>
                </c:pt>
                <c:pt idx="4">
                  <c:v>86.510999999999996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505888"/>
        <c:axId val="343506280"/>
      </c:barChart>
      <c:catAx>
        <c:axId val="34350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3506280"/>
        <c:crosses val="autoZero"/>
        <c:auto val="1"/>
        <c:lblAlgn val="ctr"/>
        <c:lblOffset val="100"/>
        <c:noMultiLvlLbl val="0"/>
      </c:catAx>
      <c:valAx>
        <c:axId val="3435062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3505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21512037715931"/>
          <c:y val="4.4451402505586414E-2"/>
          <c:w val="0.37876728971631585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1'!$C$141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1'!$D$141:$P$141</c:f>
              <c:numCache>
                <c:formatCode>#,##0.00</c:formatCode>
                <c:ptCount val="13"/>
                <c:pt idx="0">
                  <c:v>418905</c:v>
                </c:pt>
                <c:pt idx="1">
                  <c:v>206083.6</c:v>
                </c:pt>
                <c:pt idx="2">
                  <c:v>157445</c:v>
                </c:pt>
                <c:pt idx="3">
                  <c:v>238113.9</c:v>
                </c:pt>
                <c:pt idx="4">
                  <c:v>177358.6</c:v>
                </c:pt>
                <c:pt idx="5">
                  <c:v>91594.1</c:v>
                </c:pt>
                <c:pt idx="6">
                  <c:v>76065.2</c:v>
                </c:pt>
                <c:pt idx="7">
                  <c:v>91091.6</c:v>
                </c:pt>
                <c:pt idx="8">
                  <c:v>35729</c:v>
                </c:pt>
                <c:pt idx="9">
                  <c:v>198516.2</c:v>
                </c:pt>
                <c:pt idx="10">
                  <c:v>631868</c:v>
                </c:pt>
                <c:pt idx="11">
                  <c:v>454829.4</c:v>
                </c:pt>
                <c:pt idx="12">
                  <c:v>384999.4</c:v>
                </c:pt>
              </c:numCache>
            </c:numRef>
          </c:val>
        </c:ser>
        <c:ser>
          <c:idx val="2"/>
          <c:order val="1"/>
          <c:tx>
            <c:strRef>
              <c:f>'Data 1'!$C$142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1'!$D$142:$P$142</c:f>
              <c:numCache>
                <c:formatCode>#,##0.00</c:formatCode>
                <c:ptCount val="13"/>
                <c:pt idx="0">
                  <c:v>894330.4</c:v>
                </c:pt>
                <c:pt idx="1">
                  <c:v>917663.8</c:v>
                </c:pt>
                <c:pt idx="2">
                  <c:v>927968.4</c:v>
                </c:pt>
                <c:pt idx="3">
                  <c:v>928531.9</c:v>
                </c:pt>
                <c:pt idx="4">
                  <c:v>907062.2</c:v>
                </c:pt>
                <c:pt idx="5">
                  <c:v>657310.6</c:v>
                </c:pt>
                <c:pt idx="6">
                  <c:v>577468</c:v>
                </c:pt>
                <c:pt idx="7">
                  <c:v>640964.5</c:v>
                </c:pt>
                <c:pt idx="8">
                  <c:v>696156.2</c:v>
                </c:pt>
                <c:pt idx="9">
                  <c:v>665095.19999999995</c:v>
                </c:pt>
                <c:pt idx="10">
                  <c:v>670791.6</c:v>
                </c:pt>
                <c:pt idx="11">
                  <c:v>684899.6</c:v>
                </c:pt>
                <c:pt idx="12">
                  <c:v>642959.4</c:v>
                </c:pt>
              </c:numCache>
            </c:numRef>
          </c:val>
        </c:ser>
        <c:ser>
          <c:idx val="0"/>
          <c:order val="2"/>
          <c:tx>
            <c:strRef>
              <c:f>'Data 1'!$C$139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1'!$D$139:$P$139</c:f>
              <c:numCache>
                <c:formatCode>#,##0.00</c:formatCode>
                <c:ptCount val="13"/>
                <c:pt idx="0">
                  <c:v>8664.2000000000007</c:v>
                </c:pt>
                <c:pt idx="1">
                  <c:v>0</c:v>
                </c:pt>
                <c:pt idx="2">
                  <c:v>544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240</c:v>
                </c:pt>
                <c:pt idx="7">
                  <c:v>1160</c:v>
                </c:pt>
                <c:pt idx="8">
                  <c:v>0</c:v>
                </c:pt>
                <c:pt idx="9">
                  <c:v>712.6</c:v>
                </c:pt>
                <c:pt idx="10">
                  <c:v>1411.7</c:v>
                </c:pt>
                <c:pt idx="11">
                  <c:v>1412</c:v>
                </c:pt>
                <c:pt idx="12">
                  <c:v>538</c:v>
                </c:pt>
              </c:numCache>
            </c:numRef>
          </c:val>
        </c:ser>
        <c:ser>
          <c:idx val="4"/>
          <c:order val="3"/>
          <c:tx>
            <c:strRef>
              <c:f>'Data 1'!$C$140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1'!$D$140:$P$140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9600</c:v>
                </c:pt>
                <c:pt idx="12">
                  <c:v>0</c:v>
                </c:pt>
              </c:numCache>
            </c:numRef>
          </c:val>
        </c:ser>
        <c:ser>
          <c:idx val="6"/>
          <c:order val="4"/>
          <c:tx>
            <c:strRef>
              <c:f>'Data 1'!$C$143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'Data 1'!$D$143:$P$143</c:f>
              <c:numCache>
                <c:formatCode>#,##0.00</c:formatCode>
                <c:ptCount val="13"/>
                <c:pt idx="0">
                  <c:v>0</c:v>
                </c:pt>
                <c:pt idx="1">
                  <c:v>1217</c:v>
                </c:pt>
                <c:pt idx="2">
                  <c:v>7584</c:v>
                </c:pt>
                <c:pt idx="3">
                  <c:v>7932.8</c:v>
                </c:pt>
                <c:pt idx="4">
                  <c:v>0</c:v>
                </c:pt>
                <c:pt idx="5">
                  <c:v>23959.3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139.6</c:v>
                </c:pt>
                <c:pt idx="10">
                  <c:v>13667.9</c:v>
                </c:pt>
                <c:pt idx="11">
                  <c:v>2812.1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3507064"/>
        <c:axId val="343507456"/>
      </c:barChart>
      <c:lineChart>
        <c:grouping val="standard"/>
        <c:varyColors val="0"/>
        <c:ser>
          <c:idx val="5"/>
          <c:order val="5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1'!$D$157:$P$157</c:f>
              <c:numCache>
                <c:formatCode>#,##0.00</c:formatCode>
                <c:ptCount val="13"/>
                <c:pt idx="0">
                  <c:v>67.422804182700006</c:v>
                </c:pt>
                <c:pt idx="1">
                  <c:v>69.294106506800006</c:v>
                </c:pt>
                <c:pt idx="2">
                  <c:v>71.028984581700001</c:v>
                </c:pt>
                <c:pt idx="3">
                  <c:v>74.006406740299994</c:v>
                </c:pt>
                <c:pt idx="4">
                  <c:v>79.845896002700002</c:v>
                </c:pt>
                <c:pt idx="5">
                  <c:v>102.1739283237</c:v>
                </c:pt>
                <c:pt idx="6">
                  <c:v>80.507212944800003</c:v>
                </c:pt>
                <c:pt idx="7">
                  <c:v>89.322719495699999</c:v>
                </c:pt>
                <c:pt idx="8">
                  <c:v>114.12251594919999</c:v>
                </c:pt>
                <c:pt idx="9">
                  <c:v>92.084451201899995</c:v>
                </c:pt>
                <c:pt idx="10">
                  <c:v>76.440865089200003</c:v>
                </c:pt>
                <c:pt idx="11">
                  <c:v>81.132726105100005</c:v>
                </c:pt>
                <c:pt idx="12">
                  <c:v>73.8586110623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00712"/>
        <c:axId val="158801104"/>
      </c:lineChart>
      <c:catAx>
        <c:axId val="343507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507456"/>
        <c:crosses val="autoZero"/>
        <c:auto val="1"/>
        <c:lblAlgn val="ctr"/>
        <c:lblOffset val="100"/>
        <c:noMultiLvlLbl val="1"/>
      </c:catAx>
      <c:valAx>
        <c:axId val="3435074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507064"/>
        <c:crosses val="autoZero"/>
        <c:crossBetween val="between"/>
        <c:dispUnits>
          <c:builtInUnit val="thousands"/>
        </c:dispUnits>
      </c:valAx>
      <c:valAx>
        <c:axId val="158801104"/>
        <c:scaling>
          <c:orientation val="minMax"/>
          <c:max val="1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800712"/>
        <c:crosses val="max"/>
        <c:crossBetween val="between"/>
      </c:valAx>
      <c:catAx>
        <c:axId val="158800712"/>
        <c:scaling>
          <c:orientation val="minMax"/>
        </c:scaling>
        <c:delete val="1"/>
        <c:axPos val="b"/>
        <c:majorTickMark val="out"/>
        <c:minorTickMark val="none"/>
        <c:tickLblPos val="nextTo"/>
        <c:crossAx val="158801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1'!$C$147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  <a:prstDash val="solid"/>
            </a:ln>
          </c:spPr>
          <c:invertIfNegative val="0"/>
          <c:val>
            <c:numRef>
              <c:f>'Data 1'!$D$147:$P$147</c:f>
              <c:numCache>
                <c:formatCode>#,##0.00</c:formatCode>
                <c:ptCount val="13"/>
                <c:pt idx="0">
                  <c:v>0</c:v>
                </c:pt>
                <c:pt idx="1">
                  <c:v>294</c:v>
                </c:pt>
                <c:pt idx="2">
                  <c:v>11178.1</c:v>
                </c:pt>
                <c:pt idx="3">
                  <c:v>4145.2</c:v>
                </c:pt>
                <c:pt idx="4">
                  <c:v>2530</c:v>
                </c:pt>
                <c:pt idx="5">
                  <c:v>15307.2</c:v>
                </c:pt>
                <c:pt idx="6">
                  <c:v>2438</c:v>
                </c:pt>
                <c:pt idx="7">
                  <c:v>0</c:v>
                </c:pt>
                <c:pt idx="8">
                  <c:v>0</c:v>
                </c:pt>
                <c:pt idx="9">
                  <c:v>58033.7</c:v>
                </c:pt>
                <c:pt idx="10">
                  <c:v>20255.7</c:v>
                </c:pt>
                <c:pt idx="11">
                  <c:v>158.4</c:v>
                </c:pt>
                <c:pt idx="12">
                  <c:v>6575</c:v>
                </c:pt>
              </c:numCache>
            </c:numRef>
          </c:val>
        </c:ser>
        <c:ser>
          <c:idx val="2"/>
          <c:order val="1"/>
          <c:tx>
            <c:strRef>
              <c:f>'Data 1'!$C$148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'Data 1'!$D$148:$P$148</c:f>
              <c:numCache>
                <c:formatCode>#,##0.00</c:formatCode>
                <c:ptCount val="13"/>
                <c:pt idx="0">
                  <c:v>0</c:v>
                </c:pt>
                <c:pt idx="1">
                  <c:v>4100.8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30295.599999999999</c:v>
                </c:pt>
                <c:pt idx="6">
                  <c:v>3386</c:v>
                </c:pt>
                <c:pt idx="7">
                  <c:v>0</c:v>
                </c:pt>
                <c:pt idx="8">
                  <c:v>400</c:v>
                </c:pt>
                <c:pt idx="9">
                  <c:v>0</c:v>
                </c:pt>
                <c:pt idx="10">
                  <c:v>17094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2"/>
          <c:tx>
            <c:strRef>
              <c:f>'Data 1'!$C$152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</c:spPr>
          <c:invertIfNegative val="0"/>
          <c:val>
            <c:numRef>
              <c:f>'Data 1'!$D$152:$P$152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91.5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3"/>
          <c:tx>
            <c:v>Consumo bombeo</c:v>
          </c:tx>
          <c:spPr>
            <a:solidFill>
              <a:srgbClr val="2C4D75"/>
            </a:solidFill>
            <a:ln>
              <a:noFill/>
            </a:ln>
          </c:spPr>
          <c:invertIfNegative val="0"/>
          <c:val>
            <c:numRef>
              <c:f>'Data 1'!$D$155:$P$155</c:f>
              <c:numCache>
                <c:formatCode>#,##0.00</c:formatCode>
                <c:ptCount val="13"/>
              </c:numCache>
            </c:numRef>
          </c:val>
        </c:ser>
        <c:ser>
          <c:idx val="3"/>
          <c:order val="4"/>
          <c:tx>
            <c:strRef>
              <c:f>'Data 1'!$C$149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val>
            <c:numRef>
              <c:f>'Data 1'!$D$149:$P$149</c:f>
              <c:numCache>
                <c:formatCode>#,##0.00</c:formatCode>
                <c:ptCount val="13"/>
                <c:pt idx="0">
                  <c:v>822</c:v>
                </c:pt>
                <c:pt idx="1">
                  <c:v>2338.3000000000002</c:v>
                </c:pt>
                <c:pt idx="2">
                  <c:v>16656.7</c:v>
                </c:pt>
                <c:pt idx="3">
                  <c:v>11379.4</c:v>
                </c:pt>
                <c:pt idx="4">
                  <c:v>2970.9</c:v>
                </c:pt>
                <c:pt idx="5">
                  <c:v>607.6</c:v>
                </c:pt>
                <c:pt idx="6">
                  <c:v>274</c:v>
                </c:pt>
                <c:pt idx="7">
                  <c:v>0</c:v>
                </c:pt>
                <c:pt idx="8">
                  <c:v>0</c:v>
                </c:pt>
                <c:pt idx="9">
                  <c:v>988.1</c:v>
                </c:pt>
                <c:pt idx="10">
                  <c:v>5344.3</c:v>
                </c:pt>
                <c:pt idx="11">
                  <c:v>1844.3</c:v>
                </c:pt>
                <c:pt idx="12">
                  <c:v>2859</c:v>
                </c:pt>
              </c:numCache>
            </c:numRef>
          </c:val>
        </c:ser>
        <c:ser>
          <c:idx val="11"/>
          <c:order val="5"/>
          <c:tx>
            <c:strRef>
              <c:f>'Data 1'!$C$145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</c:spPr>
          <c:invertIfNegative val="0"/>
          <c:val>
            <c:numRef>
              <c:f>'Data 1'!$D$145:$P$145</c:f>
              <c:numCache>
                <c:formatCode>#,##0.00</c:formatCode>
                <c:ptCount val="13"/>
                <c:pt idx="0">
                  <c:v>1360.8</c:v>
                </c:pt>
                <c:pt idx="1">
                  <c:v>921.3</c:v>
                </c:pt>
                <c:pt idx="2">
                  <c:v>0</c:v>
                </c:pt>
                <c:pt idx="3">
                  <c:v>2865.3</c:v>
                </c:pt>
                <c:pt idx="4">
                  <c:v>3920</c:v>
                </c:pt>
                <c:pt idx="5">
                  <c:v>24</c:v>
                </c:pt>
                <c:pt idx="6">
                  <c:v>0</c:v>
                </c:pt>
                <c:pt idx="7">
                  <c:v>1009.1</c:v>
                </c:pt>
                <c:pt idx="8">
                  <c:v>0</c:v>
                </c:pt>
                <c:pt idx="9">
                  <c:v>1026.5</c:v>
                </c:pt>
                <c:pt idx="10">
                  <c:v>623</c:v>
                </c:pt>
                <c:pt idx="11">
                  <c:v>12</c:v>
                </c:pt>
                <c:pt idx="12">
                  <c:v>0</c:v>
                </c:pt>
              </c:numCache>
            </c:numRef>
          </c:val>
        </c:ser>
        <c:ser>
          <c:idx val="13"/>
          <c:order val="6"/>
          <c:tx>
            <c:v>Nuclear</c:v>
          </c:tx>
          <c:spPr>
            <a:solidFill>
              <a:srgbClr val="464394"/>
            </a:solidFill>
          </c:spPr>
          <c:invertIfNegative val="0"/>
          <c:val>
            <c:numRef>
              <c:f>'Data 1'!$D$156:$P$156</c:f>
              <c:numCache>
                <c:formatCode>#,##0.00</c:formatCode>
                <c:ptCount val="13"/>
              </c:numCache>
            </c:numRef>
          </c:val>
        </c:ser>
        <c:ser>
          <c:idx val="4"/>
          <c:order val="7"/>
          <c:tx>
            <c:strRef>
              <c:f>'Data 1'!$C$150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val>
            <c:numRef>
              <c:f>'Data 1'!$D$150:$P$150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95.9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57.8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8"/>
          <c:tx>
            <c:strRef>
              <c:f>'Data 1'!$C$151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'Data 1'!$D$151:$P$151</c:f>
              <c:numCache>
                <c:formatCode>#,##0.00</c:formatCode>
                <c:ptCount val="13"/>
                <c:pt idx="0">
                  <c:v>899</c:v>
                </c:pt>
                <c:pt idx="1">
                  <c:v>4944.8999999999996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117.8</c:v>
                </c:pt>
                <c:pt idx="7">
                  <c:v>2368.1</c:v>
                </c:pt>
                <c:pt idx="8">
                  <c:v>0</c:v>
                </c:pt>
                <c:pt idx="9">
                  <c:v>0</c:v>
                </c:pt>
                <c:pt idx="10">
                  <c:v>617.6</c:v>
                </c:pt>
                <c:pt idx="11">
                  <c:v>0</c:v>
                </c:pt>
                <c:pt idx="12">
                  <c:v>725.3</c:v>
                </c:pt>
              </c:numCache>
            </c:numRef>
          </c:val>
        </c:ser>
        <c:ser>
          <c:idx val="0"/>
          <c:order val="9"/>
          <c:tx>
            <c:strRef>
              <c:f>'Data 1'!$C$146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 w="25400">
              <a:noFill/>
            </a:ln>
          </c:spPr>
          <c:invertIfNegative val="0"/>
          <c:val>
            <c:numRef>
              <c:f>'Data 1'!$D$146:$P$146</c:f>
              <c:numCache>
                <c:formatCode>#,##0.00</c:formatCode>
                <c:ptCount val="13"/>
                <c:pt idx="0">
                  <c:v>18605.400000000001</c:v>
                </c:pt>
                <c:pt idx="1">
                  <c:v>366.7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856</c:v>
                </c:pt>
                <c:pt idx="6">
                  <c:v>0</c:v>
                </c:pt>
                <c:pt idx="7">
                  <c:v>0</c:v>
                </c:pt>
                <c:pt idx="8">
                  <c:v>2763.2</c:v>
                </c:pt>
                <c:pt idx="9">
                  <c:v>6933.6</c:v>
                </c:pt>
                <c:pt idx="10">
                  <c:v>755.1</c:v>
                </c:pt>
                <c:pt idx="11">
                  <c:v>1460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3508240"/>
        <c:axId val="343507848"/>
      </c:barChart>
      <c:lineChart>
        <c:grouping val="standard"/>
        <c:varyColors val="0"/>
        <c:ser>
          <c:idx val="7"/>
          <c:order val="10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1'!$D$156:$P$156</c:f>
              <c:numCache>
                <c:formatCode>#,##0.00</c:formatCode>
                <c:ptCount val="13"/>
              </c:numCache>
            </c:numRef>
          </c:val>
          <c:smooth val="0"/>
        </c:ser>
        <c:ser>
          <c:idx val="9"/>
          <c:order val="11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'Data 1'!$D$158:$P$158</c:f>
              <c:numCache>
                <c:formatCode>#,##0.00</c:formatCode>
                <c:ptCount val="13"/>
                <c:pt idx="0">
                  <c:v>35.6660431038</c:v>
                </c:pt>
                <c:pt idx="1">
                  <c:v>40.179360635499997</c:v>
                </c:pt>
                <c:pt idx="2">
                  <c:v>42.7033473822</c:v>
                </c:pt>
                <c:pt idx="3">
                  <c:v>41.243095938499998</c:v>
                </c:pt>
                <c:pt idx="4">
                  <c:v>45.042061407200002</c:v>
                </c:pt>
                <c:pt idx="5">
                  <c:v>59.241832602499997</c:v>
                </c:pt>
                <c:pt idx="6">
                  <c:v>66.158074584100007</c:v>
                </c:pt>
                <c:pt idx="7">
                  <c:v>63.3943088949</c:v>
                </c:pt>
                <c:pt idx="8">
                  <c:v>87.216925897799996</c:v>
                </c:pt>
                <c:pt idx="9">
                  <c:v>59.043409800500001</c:v>
                </c:pt>
                <c:pt idx="10">
                  <c:v>45.244610503099999</c:v>
                </c:pt>
                <c:pt idx="11">
                  <c:v>42.666926641099998</c:v>
                </c:pt>
                <c:pt idx="12">
                  <c:v>47.541595385500003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509024"/>
        <c:axId val="343508632"/>
      </c:lineChart>
      <c:valAx>
        <c:axId val="343507848"/>
        <c:scaling>
          <c:orientation val="maxMin"/>
          <c:max val="70000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n-US"/>
          </a:p>
        </c:txPr>
        <c:crossAx val="343508240"/>
        <c:crosses val="autoZero"/>
        <c:crossBetween val="between"/>
        <c:dispUnits>
          <c:builtInUnit val="thousands"/>
        </c:dispUnits>
      </c:valAx>
      <c:catAx>
        <c:axId val="343508240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343507848"/>
        <c:crossesAt val="0"/>
        <c:auto val="1"/>
        <c:lblAlgn val="ctr"/>
        <c:lblOffset val="100"/>
        <c:noMultiLvlLbl val="0"/>
      </c:catAx>
      <c:valAx>
        <c:axId val="343508632"/>
        <c:scaling>
          <c:orientation val="maxMin"/>
          <c:max val="1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n-US"/>
          </a:p>
        </c:txPr>
        <c:crossAx val="343509024"/>
        <c:crosses val="max"/>
        <c:crossBetween val="between"/>
      </c:valAx>
      <c:catAx>
        <c:axId val="34350902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43508632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716802145004724E-2"/>
          <c:y val="0.78434509708607614"/>
          <c:w val="0.91723050132069539"/>
          <c:h val="0.2156547332590652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2'!$B$6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2'!$C$6:$O$6</c:f>
              <c:numCache>
                <c:formatCode>#,##0</c:formatCode>
                <c:ptCount val="13"/>
                <c:pt idx="0">
                  <c:v>666.32795698919995</c:v>
                </c:pt>
                <c:pt idx="1">
                  <c:v>664.29166666670005</c:v>
                </c:pt>
                <c:pt idx="2">
                  <c:v>686.78763440859996</c:v>
                </c:pt>
                <c:pt idx="3">
                  <c:v>694.56048387099997</c:v>
                </c:pt>
                <c:pt idx="4">
                  <c:v>691.88888888890006</c:v>
                </c:pt>
                <c:pt idx="5">
                  <c:v>669.59060402679995</c:v>
                </c:pt>
                <c:pt idx="6">
                  <c:v>686.04444444440003</c:v>
                </c:pt>
                <c:pt idx="7">
                  <c:v>698.83602150540003</c:v>
                </c:pt>
                <c:pt idx="8">
                  <c:v>712.52016129030005</c:v>
                </c:pt>
                <c:pt idx="9">
                  <c:v>690.06696428570001</c:v>
                </c:pt>
                <c:pt idx="10">
                  <c:v>679.79004037690004</c:v>
                </c:pt>
                <c:pt idx="11">
                  <c:v>667.79305555559995</c:v>
                </c:pt>
                <c:pt idx="12">
                  <c:v>657.63440860219998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709624"/>
        <c:axId val="342710408"/>
      </c:barChart>
      <c:lineChart>
        <c:grouping val="standard"/>
        <c:varyColors val="0"/>
        <c:ser>
          <c:idx val="2"/>
          <c:order val="1"/>
          <c:tx>
            <c:strRef>
              <c:f>'Data 2'!$B$8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'M9'!$O$4:$AA$4</c:f>
              <c:strCache>
                <c:ptCount val="13"/>
                <c:pt idx="0">
                  <c:v>J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2'!$C$8:$O$8</c:f>
              <c:numCache>
                <c:formatCode>0.0</c:formatCode>
                <c:ptCount val="13"/>
                <c:pt idx="0">
                  <c:v>18.616068699100001</c:v>
                </c:pt>
                <c:pt idx="1">
                  <c:v>11.4989193337</c:v>
                </c:pt>
                <c:pt idx="2">
                  <c:v>11.051812032999999</c:v>
                </c:pt>
                <c:pt idx="3">
                  <c:v>10.705185459200001</c:v>
                </c:pt>
                <c:pt idx="4">
                  <c:v>8.6965031858999993</c:v>
                </c:pt>
                <c:pt idx="5">
                  <c:v>10.667894227</c:v>
                </c:pt>
                <c:pt idx="6">
                  <c:v>15.1275113394</c:v>
                </c:pt>
                <c:pt idx="7">
                  <c:v>13.988426286899999</c:v>
                </c:pt>
                <c:pt idx="8">
                  <c:v>19.8404244623</c:v>
                </c:pt>
                <c:pt idx="9">
                  <c:v>15.125065320299999</c:v>
                </c:pt>
                <c:pt idx="10">
                  <c:v>11.5469110496</c:v>
                </c:pt>
                <c:pt idx="11">
                  <c:v>14.6645191734</c:v>
                </c:pt>
                <c:pt idx="12">
                  <c:v>14.2514912811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708840"/>
        <c:axId val="342709232"/>
      </c:lineChart>
      <c:catAx>
        <c:axId val="342709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710408"/>
        <c:crosses val="autoZero"/>
        <c:auto val="1"/>
        <c:lblAlgn val="ctr"/>
        <c:lblOffset val="100"/>
        <c:noMultiLvlLbl val="1"/>
      </c:catAx>
      <c:valAx>
        <c:axId val="3427104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709624"/>
        <c:crosses val="autoZero"/>
        <c:crossBetween val="between"/>
        <c:majorUnit val="200"/>
      </c:valAx>
      <c:valAx>
        <c:axId val="342709232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708840"/>
        <c:crosses val="max"/>
        <c:crossBetween val="between"/>
        <c:majorUnit val="10"/>
      </c:valAx>
      <c:catAx>
        <c:axId val="342708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270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0.32168</cdr:x>
      <cdr:y>0.93906</cdr:y>
    </cdr:from>
    <cdr:to>
      <cdr:x>0.41211</cdr:x>
      <cdr:y>1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269649" y="2824687"/>
          <a:ext cx="638042" cy="183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0.80244</cdr:x>
      <cdr:y>0.93484</cdr:y>
    </cdr:from>
    <cdr:to>
      <cdr:x>0.88225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661721" y="2811994"/>
          <a:ext cx="563111" cy="196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30478</xdr:rowOff>
    </xdr:from>
    <xdr:to>
      <xdr:col>6</xdr:col>
      <xdr:colOff>762000</xdr:colOff>
      <xdr:row>3</xdr:row>
      <xdr:rowOff>38099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 flipV="1">
          <a:off x="205740" y="487678"/>
          <a:ext cx="6938010" cy="7621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0.60896</cdr:x>
      <cdr:y>0.11708</cdr:y>
    </cdr:from>
    <cdr:to>
      <cdr:x>0.61143</cdr:x>
      <cdr:y>0.81169</cdr:y>
    </cdr:to>
    <cdr:cxnSp macro="">
      <cdr:nvCxnSpPr>
        <cdr:cNvPr id="3" name="Conector recto 2"/>
        <cdr:cNvCxnSpPr/>
      </cdr:nvCxnSpPr>
      <cdr:spPr bwMode="auto">
        <a:xfrm xmlns:a="http://schemas.openxmlformats.org/drawingml/2006/main" flipH="1" flipV="1">
          <a:off x="4661013" y="290184"/>
          <a:ext cx="18905" cy="172164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0.77329</cdr:x>
      <cdr:y>0.89913</cdr:y>
    </cdr:from>
    <cdr:to>
      <cdr:x>0.84692</cdr:x>
      <cdr:y>0.97258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5918772" y="2228558"/>
          <a:ext cx="563565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0.31204</cdr:x>
      <cdr:y>0.89341</cdr:y>
    </cdr:from>
    <cdr:to>
      <cdr:x>0.38566</cdr:x>
      <cdr:y>0.96686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2388375" y="2214383"/>
          <a:ext cx="563489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0.60865</cdr:x>
      <cdr:y>0.06638</cdr:y>
    </cdr:from>
    <cdr:to>
      <cdr:x>0.61112</cdr:x>
      <cdr:y>0.761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658350" y="164275"/>
          <a:ext cx="18904" cy="171905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0.60993</cdr:x>
      <cdr:y>0.12937</cdr:y>
    </cdr:from>
    <cdr:to>
      <cdr:x>0.61083</cdr:x>
      <cdr:y>0.81708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595853" y="299704"/>
          <a:ext cx="6782" cy="15931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0.78713</cdr:x>
      <cdr:y>0.8711</cdr:y>
    </cdr:from>
    <cdr:to>
      <cdr:x>0.86193</cdr:x>
      <cdr:y>0.94969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931114" y="2018030"/>
          <a:ext cx="563625" cy="18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0.31223</cdr:x>
      <cdr:y>0.87731</cdr:y>
    </cdr:from>
    <cdr:to>
      <cdr:x>0.38703</cdr:x>
      <cdr:y>0.9559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352667" y="2032417"/>
          <a:ext cx="563626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0.60918</cdr:x>
      <cdr:y>0.03318</cdr:y>
    </cdr:from>
    <cdr:to>
      <cdr:x>0.61092</cdr:x>
      <cdr:y>0.8673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590778" y="56626"/>
          <a:ext cx="13113" cy="142353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0.61242</cdr:x>
      <cdr:y>0.11643</cdr:y>
    </cdr:from>
    <cdr:to>
      <cdr:x>0.61261</cdr:x>
      <cdr:y>0.81585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4614646" y="272630"/>
          <a:ext cx="1432" cy="16376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0.77542</cdr:x>
      <cdr:y>0.88627</cdr:y>
    </cdr:from>
    <cdr:to>
      <cdr:x>0.85023</cdr:x>
      <cdr:y>0.96405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42841" y="2075196"/>
          <a:ext cx="56370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0.32833</cdr:x>
      <cdr:y>0.88835</cdr:y>
    </cdr:from>
    <cdr:to>
      <cdr:x>0.40312</cdr:x>
      <cdr:y>0.96613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474019" y="2080071"/>
          <a:ext cx="563550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0.60903</cdr:x>
      <cdr:y>0.0319</cdr:y>
    </cdr:from>
    <cdr:to>
      <cdr:x>0.61013</cdr:x>
      <cdr:y>0.85901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589647" y="55476"/>
          <a:ext cx="8290" cy="14382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70816</xdr:rowOff>
    </xdr:from>
    <xdr:to>
      <xdr:col>11</xdr:col>
      <xdr:colOff>554935</xdr:colOff>
      <xdr:row>20</xdr:row>
      <xdr:rowOff>158197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0.61228</cdr:x>
      <cdr:y>0.09501</cdr:y>
    </cdr:from>
    <cdr:to>
      <cdr:x>0.61286</cdr:x>
      <cdr:y>0.81054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613673" y="245383"/>
          <a:ext cx="4371" cy="18480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0.61287</cdr:x>
      <cdr:y>0.17984</cdr:y>
    </cdr:from>
    <cdr:to>
      <cdr:x>0.61355</cdr:x>
      <cdr:y>0.86301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618074" y="481644"/>
          <a:ext cx="5124" cy="18296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0.78652</cdr:x>
      <cdr:y>0.92397</cdr:y>
    </cdr:from>
    <cdr:to>
      <cdr:x>0.86132</cdr:x>
      <cdr:y>0.99443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926600" y="2474559"/>
          <a:ext cx="563634" cy="188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0.31421</cdr:x>
      <cdr:y>0.92955</cdr:y>
    </cdr:from>
    <cdr:to>
      <cdr:x>0.389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367605" y="2489503"/>
          <a:ext cx="563558" cy="18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0.92036</cdr:x>
      <cdr:y>0.00912</cdr:y>
    </cdr:from>
    <cdr:to>
      <cdr:x>0.99082</cdr:x>
      <cdr:y>0.08025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935139" y="24434"/>
          <a:ext cx="53091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Calibri" panose="020F0502020204030204" pitchFamily="34" charset="0"/>
              <a:ea typeface="+mn-ea"/>
              <a:cs typeface="+mn-cs"/>
            </a:rPr>
            <a:t>€/M</a:t>
          </a:r>
          <a:r>
            <a:rPr lang="es-ES"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rPr>
            <a:t>Wh</a:t>
          </a:r>
          <a:endParaRPr lang="en-US" sz="800" b="0" i="0" u="none" strike="noStrike" kern="1200" baseline="0">
            <a:solidFill>
              <a:srgbClr val="004563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49695</xdr:rowOff>
    </xdr:from>
    <xdr:to>
      <xdr:col>11</xdr:col>
      <xdr:colOff>554935</xdr:colOff>
      <xdr:row>37</xdr:row>
      <xdr:rowOff>24847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74543</xdr:rowOff>
    </xdr:from>
    <xdr:to>
      <xdr:col>11</xdr:col>
      <xdr:colOff>554935</xdr:colOff>
      <xdr:row>20</xdr:row>
      <xdr:rowOff>66510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0.60898</cdr:x>
      <cdr:y>0.09077</cdr:y>
    </cdr:from>
    <cdr:to>
      <cdr:x>0.61072</cdr:x>
      <cdr:y>0.77551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588807" y="252797"/>
          <a:ext cx="13111" cy="19070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0.60907</cdr:x>
      <cdr:y>0.09653</cdr:y>
    </cdr:from>
    <cdr:to>
      <cdr:x>0.61071</cdr:x>
      <cdr:y>0.84678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589504" y="249307"/>
          <a:ext cx="12294" cy="193771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0.76613</cdr:x>
      <cdr:y>0.92954</cdr:y>
    </cdr:from>
    <cdr:to>
      <cdr:x>0.84093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772963" y="2400785"/>
          <a:ext cx="56363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0.30266</cdr:x>
      <cdr:y>0.92955</cdr:y>
    </cdr:from>
    <cdr:to>
      <cdr:x>0.37745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280643" y="2400811"/>
          <a:ext cx="563559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1484961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0.6071</cdr:x>
      <cdr:y>0.22355</cdr:y>
    </cdr:from>
    <cdr:to>
      <cdr:x>0.7366</cdr:x>
      <cdr:y>0.28455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4269" y="536577"/>
          <a:ext cx="747494" cy="146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0.41218</cdr:x>
      <cdr:y>0.58582</cdr:y>
    </cdr:from>
    <cdr:to>
      <cdr:x>0.54168</cdr:x>
      <cdr:y>0.64682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79178" y="1406154"/>
          <a:ext cx="747494" cy="146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0.60943</cdr:x>
      <cdr:y>0.09275</cdr:y>
    </cdr:from>
    <cdr:to>
      <cdr:x>0.61107</cdr:x>
      <cdr:y>0.75272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534111" y="276479"/>
          <a:ext cx="12201" cy="196731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0.61013</cdr:x>
      <cdr:y>0.078</cdr:y>
    </cdr:from>
    <cdr:to>
      <cdr:x>0.61135</cdr:x>
      <cdr:y>0.86476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539320" y="201443"/>
          <a:ext cx="9077" cy="203201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0.78139</cdr:x>
      <cdr:y>0.92954</cdr:y>
    </cdr:from>
    <cdr:to>
      <cdr:x>0.85711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13500" y="2400784"/>
          <a:ext cx="56335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0.31348</cdr:x>
      <cdr:y>0.92955</cdr:y>
    </cdr:from>
    <cdr:to>
      <cdr:x>0.38919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332251" y="2400810"/>
          <a:ext cx="563280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49694</xdr:rowOff>
    </xdr:from>
    <xdr:to>
      <xdr:col>11</xdr:col>
      <xdr:colOff>662609</xdr:colOff>
      <xdr:row>29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0.60415</cdr:x>
      <cdr:y>0.10767</cdr:y>
    </cdr:from>
    <cdr:to>
      <cdr:x>0.60906</cdr:x>
      <cdr:y>0.88449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4551335" y="406358"/>
          <a:ext cx="36989" cy="293169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0.77425</cdr:x>
      <cdr:y>0.93275</cdr:y>
    </cdr:from>
    <cdr:to>
      <cdr:x>0.84909</cdr:x>
      <cdr:y>0.98098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32747" y="3520178"/>
          <a:ext cx="563803" cy="182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0.26119</cdr:x>
      <cdr:y>0.92647</cdr:y>
    </cdr:from>
    <cdr:to>
      <cdr:x>0.33602</cdr:x>
      <cdr:y>0.97471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1967642" y="3496457"/>
          <a:ext cx="563728" cy="182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0.62105</cdr:x>
      <cdr:y>0.20496</cdr:y>
    </cdr:from>
    <cdr:to>
      <cdr:x>0.6224</cdr:x>
      <cdr:y>0.87888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4383409" y="628623"/>
          <a:ext cx="9529" cy="20669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0.04229</cdr:x>
      <cdr:y>0.09731</cdr:y>
    </cdr:from>
    <cdr:to>
      <cdr:x>0.07884</cdr:x>
      <cdr:y>0.16824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298468" y="298449"/>
          <a:ext cx="257971" cy="2175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0.30275</cdr:x>
      <cdr:y>0.93792</cdr:y>
    </cdr:from>
    <cdr:to>
      <cdr:x>0.38256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136801" y="2876647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0.76698</cdr:x>
      <cdr:y>0.9265</cdr:y>
    </cdr:from>
    <cdr:to>
      <cdr:x>0.84679</cdr:x>
      <cdr:y>0.98858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5413378" y="2841619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/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0.76762</cdr:x>
      <cdr:y>0.91408</cdr:y>
    </cdr:from>
    <cdr:to>
      <cdr:x>0.84743</cdr:x>
      <cdr:y>0.97758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417849" y="2740841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0.6224</cdr:x>
      <cdr:y>0.16519</cdr:y>
    </cdr:from>
    <cdr:to>
      <cdr:x>0.62258</cdr:x>
      <cdr:y>0.8507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4392931" y="495307"/>
          <a:ext cx="1270" cy="20554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0.36077</cdr:x>
      <cdr:y>0.91275</cdr:y>
    </cdr:from>
    <cdr:to>
      <cdr:x>0.44058</cdr:x>
      <cdr:y>0.97625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546319" y="2736853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/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4317206</xdr:colOff>
      <xdr:row>10</xdr:row>
      <xdr:rowOff>21431</xdr:rowOff>
    </xdr:from>
    <xdr:to>
      <xdr:col>4</xdr:col>
      <xdr:colOff>4317206</xdr:colOff>
      <xdr:row>21</xdr:row>
      <xdr:rowOff>135731</xdr:rowOff>
    </xdr:to>
    <xdr:cxnSp macro="">
      <xdr:nvCxnSpPr>
        <xdr:cNvPr id="3" name="Conector recto 2"/>
        <xdr:cNvCxnSpPr/>
      </xdr:nvCxnSpPr>
      <xdr:spPr bwMode="auto">
        <a:xfrm flipV="1">
          <a:off x="6174581" y="1712119"/>
          <a:ext cx="0" cy="194786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5X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56"/>
  <sheetViews>
    <sheetView showGridLines="0" showRowColHeaders="0" tabSelected="1" workbookViewId="0">
      <selection activeCell="E4" sqref="E4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8" ht="0.75" customHeight="1"/>
    <row r="2" spans="2:8" ht="21" customHeight="1">
      <c r="C2" s="148"/>
      <c r="D2" s="148"/>
      <c r="E2" s="149" t="s">
        <v>37</v>
      </c>
    </row>
    <row r="3" spans="2:8" ht="15" customHeight="1">
      <c r="C3" s="148"/>
      <c r="D3" s="148"/>
      <c r="E3" s="145" t="str">
        <f>'M1'!L3</f>
        <v>Mayo 2017</v>
      </c>
    </row>
    <row r="4" spans="2:8" s="2" customFormat="1" ht="20.25" customHeight="1">
      <c r="B4" s="3"/>
      <c r="C4" s="150" t="s">
        <v>36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51"/>
      <c r="D7" s="11"/>
      <c r="E7" s="11"/>
    </row>
    <row r="8" spans="2:8" s="2" customFormat="1" ht="12.6" customHeight="1">
      <c r="B8" s="3"/>
      <c r="C8" s="152"/>
      <c r="D8" s="153" t="s">
        <v>143</v>
      </c>
      <c r="E8" s="154" t="s">
        <v>49</v>
      </c>
      <c r="F8" s="155"/>
      <c r="G8" s="92"/>
    </row>
    <row r="9" spans="2:8" s="2" customFormat="1" ht="12.6" customHeight="1">
      <c r="B9" s="3"/>
      <c r="C9" s="152"/>
      <c r="D9" s="153" t="s">
        <v>143</v>
      </c>
      <c r="E9" s="154" t="s">
        <v>144</v>
      </c>
      <c r="F9" s="155"/>
      <c r="G9" s="92"/>
    </row>
    <row r="10" spans="2:8" s="2" customFormat="1" ht="12.6" customHeight="1">
      <c r="B10" s="3"/>
      <c r="C10" s="152"/>
      <c r="D10" s="153" t="s">
        <v>143</v>
      </c>
      <c r="E10" s="154" t="s">
        <v>145</v>
      </c>
      <c r="F10" s="155"/>
      <c r="H10" s="156"/>
    </row>
    <row r="11" spans="2:8" s="2" customFormat="1" ht="12.6" customHeight="1">
      <c r="B11" s="3"/>
      <c r="C11" s="152"/>
      <c r="D11" s="153" t="s">
        <v>143</v>
      </c>
      <c r="E11" s="154" t="s">
        <v>146</v>
      </c>
      <c r="F11" s="155"/>
      <c r="H11" s="156"/>
    </row>
    <row r="12" spans="2:8" s="2" customFormat="1" ht="12.6" customHeight="1">
      <c r="B12" s="3"/>
      <c r="C12" s="152"/>
      <c r="D12" s="153" t="s">
        <v>143</v>
      </c>
      <c r="E12" s="154" t="s">
        <v>33</v>
      </c>
      <c r="F12" s="155"/>
    </row>
    <row r="13" spans="2:8" s="2" customFormat="1" ht="12.6" customHeight="1">
      <c r="B13" s="3"/>
      <c r="C13" s="152"/>
      <c r="D13" s="153" t="s">
        <v>143</v>
      </c>
      <c r="E13" s="154" t="s">
        <v>147</v>
      </c>
      <c r="F13" s="155"/>
    </row>
    <row r="14" spans="2:8" s="2" customFormat="1" ht="12.6" customHeight="1">
      <c r="B14" s="3"/>
      <c r="C14" s="152"/>
      <c r="D14" s="153" t="s">
        <v>143</v>
      </c>
      <c r="E14" s="154" t="s">
        <v>62</v>
      </c>
      <c r="F14" s="155"/>
    </row>
    <row r="15" spans="2:8" s="2" customFormat="1" ht="12.6" customHeight="1">
      <c r="B15" s="3"/>
      <c r="C15" s="152"/>
      <c r="D15" s="153" t="s">
        <v>143</v>
      </c>
      <c r="E15" s="154" t="s">
        <v>44</v>
      </c>
      <c r="F15" s="155"/>
    </row>
    <row r="16" spans="2:8" s="2" customFormat="1" ht="12.6" customHeight="1">
      <c r="B16" s="3"/>
      <c r="C16" s="152"/>
      <c r="D16" s="153" t="s">
        <v>143</v>
      </c>
      <c r="E16" s="154" t="s">
        <v>14</v>
      </c>
      <c r="F16" s="155"/>
    </row>
    <row r="17" spans="2:6" s="2" customFormat="1" ht="12.6" customHeight="1">
      <c r="B17" s="3"/>
      <c r="C17" s="152"/>
      <c r="D17" s="153" t="s">
        <v>143</v>
      </c>
      <c r="E17" s="154" t="s">
        <v>88</v>
      </c>
      <c r="F17" s="155"/>
    </row>
    <row r="18" spans="2:6" s="2" customFormat="1" ht="12.6" customHeight="1">
      <c r="B18" s="3"/>
      <c r="C18" s="152"/>
      <c r="D18" s="153" t="s">
        <v>143</v>
      </c>
      <c r="E18" s="154" t="s">
        <v>3</v>
      </c>
      <c r="F18" s="155"/>
    </row>
    <row r="19" spans="2:6" s="2" customFormat="1" ht="12.6" customHeight="1">
      <c r="B19" s="3"/>
      <c r="C19" s="152"/>
      <c r="D19" s="153" t="s">
        <v>143</v>
      </c>
      <c r="E19" s="154" t="s">
        <v>89</v>
      </c>
      <c r="F19" s="155"/>
    </row>
    <row r="20" spans="2:6" s="2" customFormat="1" ht="12.6" customHeight="1">
      <c r="B20" s="3"/>
      <c r="C20" s="152"/>
      <c r="D20" s="153" t="s">
        <v>143</v>
      </c>
      <c r="E20" s="154" t="s">
        <v>28</v>
      </c>
      <c r="F20" s="155"/>
    </row>
    <row r="21" spans="2:6" s="2" customFormat="1" ht="12.6" customHeight="1">
      <c r="B21" s="3"/>
      <c r="C21" s="152"/>
      <c r="D21" s="157" t="s">
        <v>143</v>
      </c>
      <c r="E21" s="154" t="s">
        <v>27</v>
      </c>
      <c r="F21" s="155"/>
    </row>
    <row r="22" spans="2:6" s="2" customFormat="1" ht="8.25" customHeight="1">
      <c r="B22" s="3"/>
      <c r="C22" s="152"/>
      <c r="D22" s="157"/>
      <c r="E22" s="158"/>
      <c r="F22" s="155"/>
    </row>
    <row r="23" spans="2:6" ht="11.25" customHeight="1"/>
    <row r="24" spans="2:6">
      <c r="C24" s="159" t="s">
        <v>148</v>
      </c>
      <c r="E24" s="2"/>
    </row>
    <row r="27" spans="2:6">
      <c r="E27" s="160"/>
    </row>
    <row r="28" spans="2:6">
      <c r="E28" s="160"/>
    </row>
    <row r="29" spans="2:6">
      <c r="E29" s="160"/>
    </row>
    <row r="30" spans="2:6">
      <c r="E30" s="7"/>
    </row>
    <row r="31" spans="2:6">
      <c r="E31" s="161"/>
    </row>
    <row r="56" spans="2:2">
      <c r="B56" s="9"/>
    </row>
  </sheetData>
  <hyperlinks>
    <hyperlink ref="E8" location="'M1'!A1" display="Valores extremos y medio del precio del mercado diario"/>
    <hyperlink ref="E9" location="'M2'!A1" display="Mercado diario: participación de cada tecnología en el precio marginal."/>
    <hyperlink ref="E10" location="'M3'!A1" display="Evolución del componente del  precio medio final de la energía."/>
    <hyperlink ref="E11" location="'M4'!A1" display="Componentes del precio medio final de la energía."/>
    <hyperlink ref="E12" location="'M5'!A1" display="Repercusión de los servicios de ajuste del sistema en el precio final medio"/>
    <hyperlink ref="E13" location="'M6'!A1" display="Coste de los servicios de ajuste"/>
    <hyperlink ref="E14" location="'M7'!A1" display="Energía gestionada en los servicios de ajustes"/>
    <hyperlink ref="E15" location="'M8'!A1" display="Solución de restricciones técnicas (Fase I)"/>
    <hyperlink ref="E16" location="'M9'!A1" display="Banda de regulación secundaria"/>
    <hyperlink ref="E17" location="'M10'!A1" display="Regulación secundaria utilizada"/>
    <hyperlink ref="E18" location="'M11'!A1" display="Regulación terciaria"/>
    <hyperlink ref="E19" location="'M12'!A1" display="Gestión de desvíos"/>
    <hyperlink ref="E20" location="'M13'!A1" display="Restricciones técnicas en tiempo real"/>
    <hyperlink ref="E21" location="'M14'!A1" display="Reserva de potencia adicional a subir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AK70"/>
  <sheetViews>
    <sheetView showGridLines="0" showRowColHeaders="0" zoomScaleNormal="100" workbookViewId="0">
      <selection activeCell="O19" sqref="O19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16384" width="11.42578125" style="30"/>
  </cols>
  <sheetData>
    <row r="1" spans="1:37">
      <c r="L1" s="19" t="s">
        <v>37</v>
      </c>
    </row>
    <row r="2" spans="1:37">
      <c r="L2" s="20" t="s">
        <v>194</v>
      </c>
    </row>
    <row r="4" spans="1:37">
      <c r="A4" s="33"/>
      <c r="B4" s="21" t="s">
        <v>36</v>
      </c>
      <c r="C4" s="33"/>
      <c r="O4" s="77" t="s">
        <v>9</v>
      </c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</row>
    <row r="5" spans="1:37" s="34" customFormat="1"/>
    <row r="6" spans="1:37" s="34" customFormat="1"/>
    <row r="7" spans="1:37" ht="12.75" customHeight="1">
      <c r="B7" s="193" t="s">
        <v>14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3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68</v>
      </c>
      <c r="F9" s="35"/>
      <c r="G9" s="35"/>
    </row>
    <row r="10" spans="1:37">
      <c r="B10" s="193"/>
      <c r="F10" s="35"/>
      <c r="G10" s="35"/>
    </row>
    <row r="11" spans="1:37" s="34" customFormat="1">
      <c r="B11" s="193"/>
      <c r="F11" s="35"/>
      <c r="G11" s="35"/>
    </row>
    <row r="12" spans="1:37">
      <c r="B12" s="193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AK70"/>
  <sheetViews>
    <sheetView showGridLines="0" showRowColHeaders="0" zoomScaleNormal="100" workbookViewId="0">
      <selection activeCell="P26" sqref="P26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25" width="8.42578125" style="30" customWidth="1"/>
    <col min="26" max="26" width="8.85546875" style="30" customWidth="1"/>
    <col min="27" max="27" width="11.42578125" style="30" customWidth="1"/>
    <col min="28" max="16384" width="11.42578125" style="30"/>
  </cols>
  <sheetData>
    <row r="1" spans="1:37">
      <c r="L1" s="87" t="s">
        <v>37</v>
      </c>
    </row>
    <row r="2" spans="1:37">
      <c r="L2" s="88" t="s">
        <v>194</v>
      </c>
    </row>
    <row r="4" spans="1:37">
      <c r="A4" s="33"/>
      <c r="B4" s="21" t="s">
        <v>36</v>
      </c>
      <c r="C4" s="33"/>
      <c r="O4" s="77" t="s">
        <v>13</v>
      </c>
      <c r="P4" s="77" t="s">
        <v>5</v>
      </c>
      <c r="Q4" s="77" t="s">
        <v>6</v>
      </c>
      <c r="R4" s="77" t="s">
        <v>7</v>
      </c>
      <c r="S4" s="77" t="s">
        <v>8</v>
      </c>
      <c r="T4" s="77" t="s">
        <v>7</v>
      </c>
      <c r="U4" s="77" t="s">
        <v>9</v>
      </c>
      <c r="V4" s="77" t="s">
        <v>9</v>
      </c>
      <c r="W4" s="77" t="s">
        <v>8</v>
      </c>
      <c r="X4" s="77" t="s">
        <v>10</v>
      </c>
      <c r="Y4" s="77" t="s">
        <v>11</v>
      </c>
      <c r="Z4" s="77" t="s">
        <v>12</v>
      </c>
      <c r="AA4" s="77" t="s">
        <v>13</v>
      </c>
    </row>
    <row r="5" spans="1:37" s="34" customFormat="1"/>
    <row r="6" spans="1:37" s="34" customFormat="1"/>
    <row r="7" spans="1:37" ht="12.75" customHeight="1">
      <c r="B7" s="193" t="s">
        <v>88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3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87</v>
      </c>
      <c r="F9" s="35"/>
      <c r="G9" s="35"/>
    </row>
    <row r="10" spans="1:37">
      <c r="B10" s="193"/>
      <c r="F10" s="35"/>
      <c r="G10" s="35"/>
    </row>
    <row r="11" spans="1:37" s="34" customFormat="1">
      <c r="B11" s="193"/>
      <c r="F11" s="35"/>
      <c r="G11" s="35"/>
    </row>
    <row r="12" spans="1:37">
      <c r="B12" s="193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16">
      <c r="F17" s="35"/>
      <c r="G17" s="35"/>
    </row>
    <row r="18" spans="6:16">
      <c r="F18" s="35"/>
      <c r="G18" s="35"/>
    </row>
    <row r="19" spans="6:16">
      <c r="F19" s="35"/>
      <c r="G19" s="35"/>
    </row>
    <row r="20" spans="6:16" ht="15">
      <c r="F20" s="35"/>
      <c r="G20" s="35"/>
      <c r="N20" s="82"/>
    </row>
    <row r="21" spans="6:16">
      <c r="F21" s="35"/>
      <c r="G21" s="35"/>
      <c r="N21" s="81"/>
    </row>
    <row r="22" spans="6:16">
      <c r="F22" s="35"/>
      <c r="G22" s="35"/>
    </row>
    <row r="23" spans="6:16">
      <c r="F23" s="35"/>
      <c r="G23" s="35"/>
    </row>
    <row r="24" spans="6:16">
      <c r="F24" s="35"/>
      <c r="G24" s="35"/>
    </row>
    <row r="25" spans="6:16">
      <c r="F25" s="35"/>
      <c r="G25" s="35"/>
    </row>
    <row r="26" spans="6:16">
      <c r="F26" s="35"/>
      <c r="G26" s="35"/>
      <c r="P26" s="191" t="s">
        <v>142</v>
      </c>
    </row>
    <row r="27" spans="6:16">
      <c r="F27" s="35"/>
      <c r="G27" s="35"/>
    </row>
    <row r="28" spans="6:16">
      <c r="F28" s="35"/>
      <c r="G28" s="35"/>
    </row>
    <row r="29" spans="6:16">
      <c r="F29" s="35"/>
      <c r="G29" s="35"/>
    </row>
    <row r="30" spans="6:16">
      <c r="F30" s="35"/>
      <c r="G30" s="35"/>
    </row>
    <row r="31" spans="6:16">
      <c r="F31" s="35"/>
      <c r="G31" s="35"/>
    </row>
    <row r="32" spans="6:16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AL70"/>
  <sheetViews>
    <sheetView showGridLines="0" showRowColHeaders="0" zoomScaleNormal="100" workbookViewId="0">
      <selection activeCell="P18" sqref="P18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7" t="s">
        <v>37</v>
      </c>
    </row>
    <row r="2" spans="1:38">
      <c r="L2" s="88" t="s">
        <v>194</v>
      </c>
    </row>
    <row r="4" spans="1:38">
      <c r="A4" s="33"/>
      <c r="B4" s="21" t="s">
        <v>36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87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193"/>
      <c r="F10" s="35"/>
      <c r="G10" s="35"/>
    </row>
    <row r="11" spans="1:38" s="34" customFormat="1" ht="12.75" customHeight="1">
      <c r="B11" s="193"/>
      <c r="F11" s="35"/>
      <c r="G11" s="35"/>
    </row>
    <row r="12" spans="1:38" ht="12.75" customHeight="1">
      <c r="B12" s="193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7" ht="12.75" customHeight="1">
      <c r="F33" s="35"/>
      <c r="G33" s="35"/>
    </row>
    <row r="34" spans="1:7" ht="12.75" customHeight="1"/>
    <row r="35" spans="1:7" ht="12.75" customHeight="1"/>
    <row r="36" spans="1:7" ht="12.75" customHeight="1"/>
    <row r="37" spans="1:7" ht="12.75" customHeight="1"/>
    <row r="38" spans="1:7" s="22" customFormat="1" ht="12.75" customHeight="1">
      <c r="A38" s="30"/>
      <c r="B38" s="30"/>
    </row>
    <row r="39" spans="1:7" s="22" customFormat="1" ht="12.75" customHeight="1">
      <c r="A39" s="30"/>
      <c r="B39" s="30"/>
    </row>
    <row r="40" spans="1:7" s="22" customFormat="1" ht="12.75" customHeight="1">
      <c r="A40" s="30"/>
      <c r="B40" s="30"/>
    </row>
    <row r="41" spans="1:7" ht="12.75" customHeight="1"/>
    <row r="55" spans="10:16">
      <c r="J55" s="31"/>
      <c r="K55" s="38"/>
      <c r="L55" s="39"/>
      <c r="M55" s="39"/>
      <c r="N55" s="38"/>
      <c r="O55" s="38"/>
    </row>
    <row r="56" spans="10:16">
      <c r="K56" s="31"/>
      <c r="L56" s="38"/>
      <c r="M56" s="39"/>
      <c r="N56" s="39"/>
      <c r="O56" s="38"/>
      <c r="P56" s="38"/>
    </row>
    <row r="57" spans="10:16">
      <c r="K57" s="31"/>
      <c r="L57" s="38"/>
      <c r="M57" s="39"/>
      <c r="N57" s="39"/>
      <c r="O57" s="38"/>
      <c r="P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1">
    <mergeCell ref="B10:B12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A1:AL70"/>
  <sheetViews>
    <sheetView showGridLines="0" showRowColHeaders="0" zoomScaleNormal="100" workbookViewId="0">
      <selection activeCell="S19" sqref="S19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7" t="s">
        <v>37</v>
      </c>
    </row>
    <row r="2" spans="1:38">
      <c r="L2" s="88" t="s">
        <v>194</v>
      </c>
    </row>
    <row r="4" spans="1:38">
      <c r="A4" s="33"/>
      <c r="B4" s="21" t="s">
        <v>36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89</v>
      </c>
      <c r="F7" s="35"/>
      <c r="G7" s="35"/>
      <c r="H7" s="36"/>
      <c r="I7" s="36"/>
      <c r="J7" s="36"/>
      <c r="K7" s="36"/>
      <c r="L7" s="36"/>
      <c r="M7" s="36"/>
      <c r="P7" s="191" t="s">
        <v>7</v>
      </c>
      <c r="Q7" s="191" t="s">
        <v>9</v>
      </c>
      <c r="R7" s="191" t="s">
        <v>9</v>
      </c>
      <c r="S7" s="191" t="s">
        <v>8</v>
      </c>
      <c r="T7" s="191" t="s">
        <v>10</v>
      </c>
      <c r="U7" s="191" t="s">
        <v>11</v>
      </c>
      <c r="V7" s="191" t="s">
        <v>12</v>
      </c>
      <c r="W7" s="191" t="s">
        <v>13</v>
      </c>
      <c r="X7" s="191" t="s">
        <v>5</v>
      </c>
      <c r="Y7" s="191" t="s">
        <v>6</v>
      </c>
      <c r="Z7" s="191" t="s">
        <v>7</v>
      </c>
      <c r="AA7" s="191" t="s">
        <v>8</v>
      </c>
      <c r="AB7" s="191" t="s">
        <v>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87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193"/>
      <c r="F10" s="35"/>
      <c r="G10" s="35"/>
    </row>
    <row r="11" spans="1:38" s="34" customFormat="1" ht="12.75" customHeight="1">
      <c r="B11" s="193"/>
      <c r="F11" s="35"/>
      <c r="G11" s="35"/>
    </row>
    <row r="12" spans="1:38" ht="12.75" customHeight="1">
      <c r="B12" s="193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5">
      <c r="N35" s="78"/>
      <c r="O35" s="78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ht="12.75" customHeight="1">
      <c r="N36" s="78"/>
    </row>
    <row r="37" spans="1:28" ht="15">
      <c r="N37" s="78"/>
      <c r="Z37" s="78"/>
      <c r="AA37" s="78"/>
      <c r="AB37" s="89"/>
    </row>
    <row r="38" spans="1:28" s="22" customFormat="1" ht="15">
      <c r="A38" s="30"/>
      <c r="B38" s="30"/>
      <c r="N38" s="78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83"/>
      <c r="AA38" s="83"/>
      <c r="AB38" s="84"/>
    </row>
    <row r="39" spans="1:28" s="22" customFormat="1" ht="15">
      <c r="A39" s="30"/>
      <c r="B39" s="30"/>
      <c r="N39" s="78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83"/>
      <c r="AA39" s="83"/>
      <c r="AB39" s="84"/>
    </row>
    <row r="40" spans="1:28" s="22" customFormat="1" ht="15">
      <c r="A40" s="30"/>
      <c r="B40" s="30"/>
      <c r="N40" s="78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8"/>
      <c r="AA40" s="78"/>
      <c r="AB40" s="84"/>
    </row>
    <row r="41" spans="1:28" ht="15">
      <c r="N41" s="78"/>
      <c r="Z41" s="83"/>
      <c r="AA41" s="83"/>
      <c r="AB41" s="84"/>
    </row>
    <row r="42" spans="1:28" ht="15">
      <c r="N42" s="78"/>
      <c r="Z42" s="83"/>
      <c r="AA42" s="83"/>
      <c r="AB42" s="84"/>
    </row>
    <row r="43" spans="1:28" ht="15">
      <c r="N43" s="78"/>
    </row>
    <row r="47" spans="1:28">
      <c r="O47" s="38"/>
    </row>
    <row r="48" spans="1:28">
      <c r="O48" s="38"/>
      <c r="P48" s="38"/>
    </row>
    <row r="49" spans="10:28">
      <c r="O49" s="38"/>
      <c r="P49" s="38"/>
    </row>
    <row r="50" spans="10:28">
      <c r="O50" s="38"/>
      <c r="P50" s="38"/>
    </row>
    <row r="51" spans="10:28">
      <c r="O51" s="38"/>
      <c r="P51" s="38"/>
    </row>
    <row r="52" spans="10:28">
      <c r="O52" s="38"/>
      <c r="P52" s="38"/>
    </row>
    <row r="53" spans="10:28">
      <c r="O53" s="38"/>
      <c r="P53" s="38"/>
    </row>
    <row r="54" spans="10:28">
      <c r="O54" s="38"/>
      <c r="P54" s="38"/>
    </row>
    <row r="55" spans="10:28">
      <c r="J55" s="31"/>
      <c r="K55" s="38"/>
      <c r="L55" s="39"/>
      <c r="M55" s="39"/>
      <c r="N55" s="38"/>
      <c r="O55" s="38"/>
      <c r="P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0:28">
      <c r="K58" s="31"/>
      <c r="L58" s="38"/>
      <c r="M58" s="39"/>
      <c r="N58" s="39"/>
      <c r="O58" s="38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</row>
    <row r="61" spans="10:28">
      <c r="K61" s="31"/>
      <c r="L61" s="38"/>
      <c r="M61" s="39"/>
      <c r="N61" s="39"/>
    </row>
    <row r="62" spans="10:28">
      <c r="K62" s="31"/>
      <c r="L62" s="38"/>
      <c r="M62" s="39"/>
      <c r="N62" s="39"/>
    </row>
    <row r="63" spans="10:28">
      <c r="K63" s="31"/>
      <c r="L63" s="38"/>
      <c r="M63" s="39"/>
      <c r="N63" s="39"/>
    </row>
    <row r="64" spans="10:28">
      <c r="K64" s="31"/>
      <c r="L64" s="38"/>
      <c r="M64" s="39"/>
      <c r="N64" s="39"/>
    </row>
    <row r="65" spans="1:28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22"/>
      <c r="K67" s="32"/>
      <c r="M67" s="39"/>
      <c r="N67" s="39"/>
    </row>
    <row r="68" spans="1:28">
      <c r="A68" s="22"/>
      <c r="B68" s="22"/>
      <c r="C68" s="22"/>
      <c r="D68" s="40"/>
      <c r="E68" s="40"/>
      <c r="F68" s="40"/>
      <c r="G68" s="40"/>
      <c r="H68" s="40"/>
      <c r="J68" s="37"/>
    </row>
    <row r="69" spans="1:28">
      <c r="J69" s="37"/>
    </row>
    <row r="70" spans="1:28">
      <c r="F70" s="35"/>
      <c r="G70" s="35"/>
      <c r="J70" s="37"/>
    </row>
  </sheetData>
  <mergeCells count="1">
    <mergeCell ref="B10:B12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AL70"/>
  <sheetViews>
    <sheetView showGridLines="0" showRowColHeaders="0" topLeftCell="A4" zoomScaleNormal="100" workbookViewId="0">
      <selection activeCell="O31" sqref="O31"/>
    </sheetView>
  </sheetViews>
  <sheetFormatPr baseColWidth="10" defaultRowHeight="12.75"/>
  <cols>
    <col min="1" max="1" width="2.7109375" style="30" customWidth="1"/>
    <col min="2" max="2" width="21.4257812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7109375" style="30" customWidth="1"/>
    <col min="15" max="16384" width="11.42578125" style="30"/>
  </cols>
  <sheetData>
    <row r="1" spans="1:38">
      <c r="L1" s="87" t="s">
        <v>37</v>
      </c>
    </row>
    <row r="2" spans="1:38">
      <c r="L2" s="88" t="s">
        <v>194</v>
      </c>
    </row>
    <row r="4" spans="1:38">
      <c r="A4" s="33"/>
      <c r="B4" s="21" t="s">
        <v>36</v>
      </c>
      <c r="C4" s="33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38" s="34" customFormat="1"/>
    <row r="6" spans="1:38" s="34" customFormat="1"/>
    <row r="7" spans="1:38" ht="12.75" customHeight="1">
      <c r="B7" s="193" t="s">
        <v>28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193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87</v>
      </c>
      <c r="F9" s="35"/>
      <c r="G9" s="35"/>
    </row>
    <row r="10" spans="1:38" ht="12.75" customHeight="1">
      <c r="B10" s="193"/>
      <c r="F10" s="35"/>
      <c r="G10" s="35"/>
    </row>
    <row r="11" spans="1:38" s="34" customFormat="1" ht="12.75" customHeight="1">
      <c r="B11" s="193"/>
      <c r="F11" s="35"/>
      <c r="G11" s="35"/>
    </row>
    <row r="12" spans="1:38" ht="12.75" customHeight="1">
      <c r="B12" s="193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2" customFormat="1" ht="12.75" customHeight="1">
      <c r="A38" s="30"/>
      <c r="B38" s="30"/>
      <c r="M38" s="30"/>
    </row>
    <row r="39" spans="1:28" s="22" customFormat="1" ht="12.75" customHeight="1">
      <c r="A39" s="30"/>
      <c r="B39" s="30"/>
      <c r="M39" s="30"/>
    </row>
    <row r="40" spans="1:28" s="22" customFormat="1" ht="12.75" customHeight="1">
      <c r="A40" s="30"/>
      <c r="B40" s="30"/>
      <c r="M40" s="30"/>
    </row>
    <row r="41" spans="1:28" ht="12.75" customHeight="1"/>
    <row r="48" spans="1:28" ht="15">
      <c r="Z48" s="78"/>
      <c r="AA48" s="78"/>
      <c r="AB48" s="84"/>
    </row>
    <row r="49" spans="10:28" ht="15">
      <c r="Z49" s="83"/>
      <c r="AA49" s="83"/>
      <c r="AB49" s="84"/>
    </row>
    <row r="50" spans="10:28" ht="15">
      <c r="Z50" s="83"/>
      <c r="AA50" s="83"/>
      <c r="AB50" s="84"/>
    </row>
    <row r="55" spans="10:28">
      <c r="J55" s="31"/>
      <c r="K55" s="38"/>
      <c r="L55" s="39"/>
      <c r="M55" s="39"/>
      <c r="N55" s="38"/>
      <c r="O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</row>
    <row r="58" spans="10:28">
      <c r="K58" s="31"/>
      <c r="L58" s="38"/>
      <c r="M58" s="39"/>
      <c r="N58" s="39"/>
      <c r="O58" s="38"/>
      <c r="P58" s="38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  <c r="O60" s="38"/>
      <c r="P60" s="38"/>
    </row>
    <row r="61" spans="10:28">
      <c r="K61" s="31"/>
      <c r="L61" s="38"/>
      <c r="M61" s="39"/>
      <c r="N61" s="39"/>
      <c r="O61" s="38"/>
      <c r="P61" s="38"/>
    </row>
    <row r="62" spans="10:28">
      <c r="K62" s="31"/>
      <c r="L62" s="38"/>
      <c r="M62" s="39"/>
      <c r="N62" s="39"/>
      <c r="O62" s="38"/>
      <c r="P62" s="38"/>
    </row>
    <row r="63" spans="10:28">
      <c r="K63" s="31"/>
      <c r="L63" s="38"/>
      <c r="M63" s="39"/>
      <c r="N63" s="39"/>
      <c r="O63" s="38"/>
      <c r="P63" s="38"/>
    </row>
    <row r="64" spans="10:28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2">
    <mergeCell ref="B10:B12"/>
    <mergeCell ref="B7:B8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AK70"/>
  <sheetViews>
    <sheetView showGridLines="0" showRowColHeaders="0" zoomScaleNormal="100" workbookViewId="0">
      <selection activeCell="Q10" sqref="Q10"/>
    </sheetView>
  </sheetViews>
  <sheetFormatPr baseColWidth="10" defaultRowHeight="12.75"/>
  <cols>
    <col min="1" max="1" width="2.7109375" style="30" customWidth="1"/>
    <col min="2" max="2" width="22.14062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7">
      <c r="L1" s="87" t="s">
        <v>37</v>
      </c>
    </row>
    <row r="2" spans="1:37">
      <c r="L2" s="88" t="s">
        <v>194</v>
      </c>
    </row>
    <row r="4" spans="1:37">
      <c r="A4" s="33"/>
      <c r="B4" s="21" t="s">
        <v>36</v>
      </c>
      <c r="C4" s="33"/>
      <c r="O4" s="77" t="s">
        <v>7</v>
      </c>
      <c r="P4" s="77" t="s">
        <v>9</v>
      </c>
      <c r="Q4" s="77" t="s">
        <v>9</v>
      </c>
      <c r="R4" s="77" t="s">
        <v>8</v>
      </c>
      <c r="S4" s="77" t="s">
        <v>10</v>
      </c>
      <c r="T4" s="77" t="s">
        <v>11</v>
      </c>
      <c r="U4" s="77" t="s">
        <v>12</v>
      </c>
      <c r="V4" s="77" t="s">
        <v>13</v>
      </c>
      <c r="W4" s="77" t="s">
        <v>5</v>
      </c>
      <c r="X4" s="77" t="s">
        <v>6</v>
      </c>
      <c r="Y4" s="77" t="s">
        <v>7</v>
      </c>
      <c r="Z4" s="77" t="s">
        <v>8</v>
      </c>
      <c r="AA4" s="77" t="s">
        <v>7</v>
      </c>
    </row>
    <row r="5" spans="1:37" s="34" customFormat="1"/>
    <row r="6" spans="1:37" s="34" customFormat="1"/>
    <row r="7" spans="1:37" ht="12.75" customHeight="1">
      <c r="B7" s="193" t="s">
        <v>27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193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68</v>
      </c>
      <c r="F9" s="35"/>
      <c r="G9" s="35"/>
    </row>
    <row r="10" spans="1:37">
      <c r="B10" s="193"/>
      <c r="F10" s="35"/>
      <c r="G10" s="35"/>
    </row>
    <row r="11" spans="1:37" s="34" customFormat="1">
      <c r="B11" s="193"/>
      <c r="F11" s="35"/>
      <c r="G11" s="35"/>
    </row>
    <row r="12" spans="1:37">
      <c r="B12" s="193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27">
      <c r="F17" s="35"/>
      <c r="G17" s="35"/>
    </row>
    <row r="18" spans="6:27">
      <c r="F18" s="35"/>
      <c r="G18" s="35"/>
    </row>
    <row r="19" spans="6:27">
      <c r="F19" s="35"/>
      <c r="G19" s="35"/>
    </row>
    <row r="20" spans="6:27">
      <c r="F20" s="35"/>
      <c r="G20" s="35"/>
    </row>
    <row r="21" spans="6:27">
      <c r="F21" s="35"/>
      <c r="G21" s="35"/>
    </row>
    <row r="22" spans="6:27">
      <c r="F22" s="35"/>
      <c r="G22" s="35"/>
    </row>
    <row r="23" spans="6:27">
      <c r="F23" s="35"/>
      <c r="G23" s="35"/>
    </row>
    <row r="24" spans="6:27">
      <c r="F24" s="35"/>
      <c r="G24" s="35"/>
    </row>
    <row r="25" spans="6:27">
      <c r="F25" s="35"/>
      <c r="G25" s="35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6:27">
      <c r="F26" s="35"/>
      <c r="G26" s="35"/>
    </row>
    <row r="27" spans="6:27">
      <c r="F27" s="35"/>
      <c r="G27" s="35"/>
    </row>
    <row r="28" spans="6:27">
      <c r="F28" s="35"/>
      <c r="G28" s="35"/>
      <c r="P28" s="80"/>
    </row>
    <row r="29" spans="6:27">
      <c r="F29" s="35"/>
      <c r="G29" s="35"/>
      <c r="P29" s="80"/>
    </row>
    <row r="30" spans="6:27">
      <c r="F30" s="35"/>
      <c r="G30" s="35"/>
      <c r="P30" s="80"/>
    </row>
    <row r="31" spans="6:27">
      <c r="F31" s="35"/>
      <c r="G31" s="35"/>
      <c r="P31" s="80"/>
    </row>
    <row r="32" spans="6:27">
      <c r="F32" s="35"/>
      <c r="G32" s="35"/>
      <c r="P32" s="80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0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2:AF165"/>
  <sheetViews>
    <sheetView showGridLines="0" showRowColHeaders="0" topLeftCell="A61" zoomScale="115" zoomScaleNormal="115" workbookViewId="0">
      <selection activeCell="O92" sqref="O92"/>
    </sheetView>
  </sheetViews>
  <sheetFormatPr baseColWidth="10" defaultRowHeight="12.75"/>
  <cols>
    <col min="1" max="1" width="2.85546875" style="107" customWidth="1"/>
    <col min="2" max="2" width="27.5703125" style="107" customWidth="1"/>
    <col min="3" max="16" width="11.42578125" style="107"/>
    <col min="17" max="17" width="15" style="107" customWidth="1"/>
    <col min="18" max="16384" width="11.42578125" style="107"/>
  </cols>
  <sheetData>
    <row r="2" spans="1:5">
      <c r="B2" s="172" t="s">
        <v>134</v>
      </c>
      <c r="C2" s="173"/>
      <c r="D2" s="173"/>
      <c r="E2" s="173"/>
    </row>
    <row r="3" spans="1:5">
      <c r="B3" s="101" t="s">
        <v>43</v>
      </c>
      <c r="C3" s="101" t="s">
        <v>46</v>
      </c>
      <c r="D3" s="101"/>
      <c r="E3" s="101" t="s">
        <v>15</v>
      </c>
    </row>
    <row r="4" spans="1:5">
      <c r="A4" s="178"/>
      <c r="B4" s="101"/>
      <c r="C4" s="101" t="s">
        <v>47</v>
      </c>
      <c r="D4" s="101" t="s">
        <v>48</v>
      </c>
      <c r="E4" s="101"/>
    </row>
    <row r="5" spans="1:5">
      <c r="A5" s="178">
        <v>1</v>
      </c>
      <c r="B5" s="101" t="s">
        <v>161</v>
      </c>
      <c r="C5" s="101">
        <v>57.01</v>
      </c>
      <c r="D5" s="101">
        <v>25.43</v>
      </c>
      <c r="E5" s="164">
        <v>38.018271917299998</v>
      </c>
    </row>
    <row r="6" spans="1:5">
      <c r="A6" s="178">
        <v>2</v>
      </c>
      <c r="B6" s="101" t="s">
        <v>162</v>
      </c>
      <c r="C6" s="101">
        <v>55.8</v>
      </c>
      <c r="D6" s="101">
        <v>48.72</v>
      </c>
      <c r="E6" s="164">
        <v>51.883648759000003</v>
      </c>
    </row>
    <row r="7" spans="1:5">
      <c r="A7" s="178">
        <v>3</v>
      </c>
      <c r="B7" s="101" t="s">
        <v>163</v>
      </c>
      <c r="C7" s="101">
        <v>55</v>
      </c>
      <c r="D7" s="101">
        <v>39.6</v>
      </c>
      <c r="E7" s="164">
        <v>49.763551483599997</v>
      </c>
    </row>
    <row r="8" spans="1:5">
      <c r="A8" s="178">
        <v>4</v>
      </c>
      <c r="B8" s="101" t="s">
        <v>164</v>
      </c>
      <c r="C8" s="101">
        <v>53.4</v>
      </c>
      <c r="D8" s="101">
        <v>37.64</v>
      </c>
      <c r="E8" s="164">
        <v>48.886001507099998</v>
      </c>
    </row>
    <row r="9" spans="1:5">
      <c r="A9" s="178">
        <v>5</v>
      </c>
      <c r="B9" s="101" t="s">
        <v>165</v>
      </c>
      <c r="C9" s="101">
        <v>52.15</v>
      </c>
      <c r="D9" s="101">
        <v>36.450000000000003</v>
      </c>
      <c r="E9" s="164">
        <v>43.553707924900003</v>
      </c>
    </row>
    <row r="10" spans="1:5">
      <c r="A10" s="178">
        <v>6</v>
      </c>
      <c r="B10" s="101" t="s">
        <v>166</v>
      </c>
      <c r="C10" s="101">
        <v>57.15</v>
      </c>
      <c r="D10" s="101">
        <v>34.729999999999997</v>
      </c>
      <c r="E10" s="164">
        <v>40.847454412600001</v>
      </c>
    </row>
    <row r="11" spans="1:5">
      <c r="A11" s="178">
        <v>7</v>
      </c>
      <c r="B11" s="101" t="s">
        <v>167</v>
      </c>
      <c r="C11" s="101">
        <v>54.24</v>
      </c>
      <c r="D11" s="101">
        <v>37.94</v>
      </c>
      <c r="E11" s="164">
        <v>45.566509129799996</v>
      </c>
    </row>
    <row r="12" spans="1:5">
      <c r="A12" s="178">
        <v>8</v>
      </c>
      <c r="B12" s="101" t="s">
        <v>168</v>
      </c>
      <c r="C12" s="101">
        <v>56.42</v>
      </c>
      <c r="D12" s="101">
        <v>37.92</v>
      </c>
      <c r="E12" s="164">
        <v>49.318090133799998</v>
      </c>
    </row>
    <row r="13" spans="1:5">
      <c r="A13" s="178">
        <v>9</v>
      </c>
      <c r="B13" s="101" t="s">
        <v>169</v>
      </c>
      <c r="C13" s="101">
        <v>54.99</v>
      </c>
      <c r="D13" s="101">
        <v>46.7</v>
      </c>
      <c r="E13" s="164">
        <v>51.465826525399997</v>
      </c>
    </row>
    <row r="14" spans="1:5">
      <c r="A14" s="178">
        <v>10</v>
      </c>
      <c r="B14" s="101" t="s">
        <v>170</v>
      </c>
      <c r="C14" s="101">
        <v>53.69</v>
      </c>
      <c r="D14" s="101">
        <v>40.65</v>
      </c>
      <c r="E14" s="164">
        <v>47.486922390300002</v>
      </c>
    </row>
    <row r="15" spans="1:5">
      <c r="A15" s="178">
        <v>11</v>
      </c>
      <c r="B15" s="101" t="s">
        <v>171</v>
      </c>
      <c r="C15" s="101">
        <v>53.48</v>
      </c>
      <c r="D15" s="101">
        <v>33.92</v>
      </c>
      <c r="E15" s="164">
        <v>41.047992643100002</v>
      </c>
    </row>
    <row r="16" spans="1:5">
      <c r="A16" s="178">
        <v>12</v>
      </c>
      <c r="B16" s="101" t="s">
        <v>172</v>
      </c>
      <c r="C16" s="101">
        <v>53.39</v>
      </c>
      <c r="D16" s="101">
        <v>36.76</v>
      </c>
      <c r="E16" s="164">
        <v>43.406565120400003</v>
      </c>
    </row>
    <row r="17" spans="1:5">
      <c r="A17" s="178">
        <v>13</v>
      </c>
      <c r="B17" s="101" t="s">
        <v>173</v>
      </c>
      <c r="C17" s="101">
        <v>53.46</v>
      </c>
      <c r="D17" s="101">
        <v>37.47</v>
      </c>
      <c r="E17" s="164">
        <v>42.678005751699999</v>
      </c>
    </row>
    <row r="18" spans="1:5">
      <c r="A18" s="178">
        <v>14</v>
      </c>
      <c r="B18" s="101" t="s">
        <v>174</v>
      </c>
      <c r="C18" s="101">
        <v>54.93</v>
      </c>
      <c r="D18" s="101">
        <v>39.69</v>
      </c>
      <c r="E18" s="164">
        <v>44.449026074999999</v>
      </c>
    </row>
    <row r="19" spans="1:5">
      <c r="A19" s="178">
        <v>15</v>
      </c>
      <c r="B19" s="101" t="s">
        <v>175</v>
      </c>
      <c r="C19" s="101">
        <v>55.03</v>
      </c>
      <c r="D19" s="101">
        <v>40.14</v>
      </c>
      <c r="E19" s="164">
        <v>49.639078028999997</v>
      </c>
    </row>
    <row r="20" spans="1:5">
      <c r="A20" s="178">
        <v>16</v>
      </c>
      <c r="B20" s="101" t="s">
        <v>176</v>
      </c>
      <c r="C20" s="101">
        <v>55.44</v>
      </c>
      <c r="D20" s="101">
        <v>44.69</v>
      </c>
      <c r="E20" s="164">
        <v>52.295267619699999</v>
      </c>
    </row>
    <row r="21" spans="1:5">
      <c r="A21" s="178">
        <v>17</v>
      </c>
      <c r="B21" s="101" t="s">
        <v>177</v>
      </c>
      <c r="C21" s="101">
        <v>53.69</v>
      </c>
      <c r="D21" s="101">
        <v>41.69</v>
      </c>
      <c r="E21" s="164">
        <v>48.265892694400002</v>
      </c>
    </row>
    <row r="22" spans="1:5">
      <c r="A22" s="178">
        <v>18</v>
      </c>
      <c r="B22" s="101" t="s">
        <v>178</v>
      </c>
      <c r="C22" s="101">
        <v>51.33</v>
      </c>
      <c r="D22" s="101">
        <v>36.090000000000003</v>
      </c>
      <c r="E22" s="164">
        <v>43.148225305399997</v>
      </c>
    </row>
    <row r="23" spans="1:5">
      <c r="A23" s="178">
        <v>19</v>
      </c>
      <c r="B23" s="101" t="s">
        <v>179</v>
      </c>
      <c r="C23" s="101">
        <v>52.52</v>
      </c>
      <c r="D23" s="101">
        <v>39.58</v>
      </c>
      <c r="E23" s="164">
        <v>46.757207916399999</v>
      </c>
    </row>
    <row r="24" spans="1:5">
      <c r="A24" s="178">
        <v>20</v>
      </c>
      <c r="B24" s="101" t="s">
        <v>180</v>
      </c>
      <c r="C24" s="101">
        <v>50.02</v>
      </c>
      <c r="D24" s="101">
        <v>40.5</v>
      </c>
      <c r="E24" s="164">
        <v>46.162376232299998</v>
      </c>
    </row>
    <row r="25" spans="1:5">
      <c r="A25" s="178">
        <v>21</v>
      </c>
      <c r="B25" s="101" t="s">
        <v>181</v>
      </c>
      <c r="C25" s="101">
        <v>52.69</v>
      </c>
      <c r="D25" s="101">
        <v>32</v>
      </c>
      <c r="E25" s="164">
        <v>40.532521109900003</v>
      </c>
    </row>
    <row r="26" spans="1:5">
      <c r="A26" s="178">
        <v>22</v>
      </c>
      <c r="B26" s="101" t="s">
        <v>182</v>
      </c>
      <c r="C26" s="101">
        <v>54.93</v>
      </c>
      <c r="D26" s="101">
        <v>39.22</v>
      </c>
      <c r="E26" s="164">
        <v>49.2631838175</v>
      </c>
    </row>
    <row r="27" spans="1:5">
      <c r="A27" s="178">
        <v>23</v>
      </c>
      <c r="B27" s="101" t="s">
        <v>183</v>
      </c>
      <c r="C27" s="101">
        <v>51.9</v>
      </c>
      <c r="D27" s="101">
        <v>40.14</v>
      </c>
      <c r="E27" s="164">
        <v>46.754088284300003</v>
      </c>
    </row>
    <row r="28" spans="1:5">
      <c r="A28" s="178">
        <v>24</v>
      </c>
      <c r="B28" s="101" t="s">
        <v>184</v>
      </c>
      <c r="C28" s="101">
        <v>53.65</v>
      </c>
      <c r="D28" s="101">
        <v>39.19</v>
      </c>
      <c r="E28" s="164">
        <v>48.4654577194</v>
      </c>
    </row>
    <row r="29" spans="1:5">
      <c r="A29" s="178">
        <v>25</v>
      </c>
      <c r="B29" s="101" t="s">
        <v>185</v>
      </c>
      <c r="C29" s="101">
        <v>55.89</v>
      </c>
      <c r="D29" s="101">
        <v>47.57</v>
      </c>
      <c r="E29" s="164">
        <v>53.300543468500003</v>
      </c>
    </row>
    <row r="30" spans="1:5">
      <c r="A30" s="178">
        <v>26</v>
      </c>
      <c r="B30" s="101" t="s">
        <v>186</v>
      </c>
      <c r="C30" s="101">
        <v>55.39</v>
      </c>
      <c r="D30" s="101">
        <v>49.39</v>
      </c>
      <c r="E30" s="164">
        <v>52.573700129300001</v>
      </c>
    </row>
    <row r="31" spans="1:5">
      <c r="A31" s="178">
        <v>27</v>
      </c>
      <c r="B31" s="101" t="s">
        <v>187</v>
      </c>
      <c r="C31" s="101">
        <v>54.9</v>
      </c>
      <c r="D31" s="101">
        <v>38.58</v>
      </c>
      <c r="E31" s="164">
        <v>47.302779622300001</v>
      </c>
    </row>
    <row r="32" spans="1:5">
      <c r="A32" s="178">
        <v>28</v>
      </c>
      <c r="B32" s="101" t="s">
        <v>188</v>
      </c>
      <c r="C32" s="101">
        <v>56.9</v>
      </c>
      <c r="D32" s="101">
        <v>38.1</v>
      </c>
      <c r="E32" s="164">
        <v>44.726275825899997</v>
      </c>
    </row>
    <row r="33" spans="1:10">
      <c r="A33" s="178">
        <v>29</v>
      </c>
      <c r="B33" s="101" t="s">
        <v>189</v>
      </c>
      <c r="C33" s="101">
        <v>55.69</v>
      </c>
      <c r="D33" s="101">
        <v>45.27</v>
      </c>
      <c r="E33" s="164">
        <v>52.790669655800002</v>
      </c>
    </row>
    <row r="34" spans="1:10">
      <c r="A34" s="178">
        <v>30</v>
      </c>
      <c r="B34" s="101" t="s">
        <v>190</v>
      </c>
      <c r="C34" s="101">
        <v>55.73</v>
      </c>
      <c r="D34" s="101">
        <v>49.51</v>
      </c>
      <c r="E34" s="164">
        <v>53.278490721200001</v>
      </c>
    </row>
    <row r="35" spans="1:10">
      <c r="A35" s="178">
        <v>31</v>
      </c>
      <c r="B35" s="101" t="s">
        <v>191</v>
      </c>
      <c r="C35" s="101">
        <v>56.3</v>
      </c>
      <c r="D35" s="101">
        <v>47.91</v>
      </c>
      <c r="E35" s="164">
        <v>53.937975681799998</v>
      </c>
    </row>
    <row r="36" spans="1:10">
      <c r="A36" s="178"/>
      <c r="B36" s="101" t="s">
        <v>192</v>
      </c>
      <c r="C36" s="101" t="s">
        <v>193</v>
      </c>
      <c r="D36" s="101" t="s">
        <v>193</v>
      </c>
      <c r="E36" s="164">
        <v>47.579971946699999</v>
      </c>
    </row>
    <row r="37" spans="1:10">
      <c r="A37" s="178"/>
      <c r="B37" s="101"/>
      <c r="C37" s="101"/>
      <c r="D37" s="101"/>
      <c r="E37" s="164"/>
    </row>
    <row r="38" spans="1:10">
      <c r="A38" s="178"/>
      <c r="B38" s="101"/>
      <c r="C38" s="101"/>
      <c r="D38" s="101"/>
      <c r="E38" s="164"/>
    </row>
    <row r="39" spans="1:10">
      <c r="A39" s="178"/>
      <c r="B39" s="101"/>
      <c r="C39" s="101"/>
      <c r="D39" s="101" t="s">
        <v>149</v>
      </c>
      <c r="E39" s="164">
        <v>47.11</v>
      </c>
      <c r="F39" s="186">
        <v>25.77</v>
      </c>
      <c r="G39" s="187">
        <f>(E39/F39-1)</f>
        <v>0.82809468374078388</v>
      </c>
    </row>
    <row r="40" spans="1:10">
      <c r="B40" s="101"/>
      <c r="C40" s="101"/>
      <c r="D40" s="101"/>
      <c r="E40" s="101"/>
    </row>
    <row r="41" spans="1:10">
      <c r="B41" s="125"/>
    </row>
    <row r="42" spans="1:10">
      <c r="A42" s="178"/>
      <c r="B42" s="167" t="s">
        <v>135</v>
      </c>
    </row>
    <row r="43" spans="1:10">
      <c r="A43" s="178"/>
      <c r="B43" s="16"/>
      <c r="C43" s="196" t="s">
        <v>22</v>
      </c>
      <c r="D43" s="196" t="s">
        <v>50</v>
      </c>
      <c r="E43" s="196" t="s">
        <v>51</v>
      </c>
      <c r="F43" s="196" t="s">
        <v>52</v>
      </c>
      <c r="G43" s="196" t="s">
        <v>26</v>
      </c>
      <c r="H43" s="196" t="s">
        <v>53</v>
      </c>
      <c r="I43" s="196" t="s">
        <v>54</v>
      </c>
      <c r="J43" s="196" t="s">
        <v>55</v>
      </c>
    </row>
    <row r="44" spans="1:10">
      <c r="A44" s="178"/>
      <c r="B44" s="17"/>
      <c r="C44" s="197"/>
      <c r="D44" s="197"/>
      <c r="E44" s="197"/>
      <c r="F44" s="197"/>
      <c r="G44" s="197"/>
      <c r="H44" s="197"/>
      <c r="I44" s="197"/>
      <c r="J44" s="197"/>
    </row>
    <row r="45" spans="1:10">
      <c r="A45" s="178" t="s">
        <v>7</v>
      </c>
      <c r="B45" s="18" t="s">
        <v>195</v>
      </c>
      <c r="C45" s="54">
        <v>34.117383512544805</v>
      </c>
      <c r="D45" s="54">
        <v>22.647849462365592</v>
      </c>
      <c r="E45" s="54">
        <v>0</v>
      </c>
      <c r="F45" s="54">
        <v>0.53763440860215062</v>
      </c>
      <c r="G45" s="54">
        <v>1.2320788530465949</v>
      </c>
      <c r="H45" s="54">
        <v>5.6451612903225801</v>
      </c>
      <c r="I45" s="55">
        <v>0</v>
      </c>
      <c r="J45" s="59">
        <v>35.81989247311828</v>
      </c>
    </row>
    <row r="46" spans="1:10">
      <c r="A46" s="178" t="s">
        <v>9</v>
      </c>
      <c r="B46" s="18" t="s">
        <v>196</v>
      </c>
      <c r="C46" s="54">
        <v>37.754629629629633</v>
      </c>
      <c r="D46" s="54">
        <v>12.592592592592593</v>
      </c>
      <c r="E46" s="54">
        <v>0</v>
      </c>
      <c r="F46" s="54">
        <v>0</v>
      </c>
      <c r="G46" s="54">
        <v>6.7592592592592595</v>
      </c>
      <c r="H46" s="54">
        <v>17.314814814814817</v>
      </c>
      <c r="I46" s="55">
        <v>0</v>
      </c>
      <c r="J46" s="59">
        <v>25.578703703703699</v>
      </c>
    </row>
    <row r="47" spans="1:10">
      <c r="A47" s="178" t="s">
        <v>9</v>
      </c>
      <c r="B47" s="18" t="s">
        <v>197</v>
      </c>
      <c r="C47" s="54">
        <v>29.950716845878134</v>
      </c>
      <c r="D47" s="54">
        <v>6.2275985663082425</v>
      </c>
      <c r="E47" s="54">
        <v>0</v>
      </c>
      <c r="F47" s="54">
        <v>0</v>
      </c>
      <c r="G47" s="54">
        <v>15.636200716845877</v>
      </c>
      <c r="H47" s="54">
        <v>26.478494623655912</v>
      </c>
      <c r="I47" s="55">
        <v>0</v>
      </c>
      <c r="J47" s="59">
        <v>21.706989247311832</v>
      </c>
    </row>
    <row r="48" spans="1:10">
      <c r="A48" s="178" t="s">
        <v>8</v>
      </c>
      <c r="B48" s="18" t="s">
        <v>198</v>
      </c>
      <c r="C48" s="54">
        <v>33.590949820788524</v>
      </c>
      <c r="D48" s="54">
        <v>5.5891577060931903</v>
      </c>
      <c r="E48" s="54">
        <v>0</v>
      </c>
      <c r="F48" s="54">
        <v>0</v>
      </c>
      <c r="G48" s="54">
        <v>12.26478494623656</v>
      </c>
      <c r="H48" s="54">
        <v>24.596774193548391</v>
      </c>
      <c r="I48" s="55">
        <v>0</v>
      </c>
      <c r="J48" s="59">
        <v>23.958333333333336</v>
      </c>
    </row>
    <row r="49" spans="1:13">
      <c r="A49" s="178" t="s">
        <v>10</v>
      </c>
      <c r="B49" s="18" t="s">
        <v>199</v>
      </c>
      <c r="C49" s="54">
        <v>42.210648148148145</v>
      </c>
      <c r="D49" s="54">
        <v>5.9027777777777777</v>
      </c>
      <c r="E49" s="54">
        <v>0</v>
      </c>
      <c r="F49" s="54">
        <v>0</v>
      </c>
      <c r="G49" s="54">
        <v>8.3912037037037042</v>
      </c>
      <c r="H49" s="54">
        <v>23.541666666666671</v>
      </c>
      <c r="I49" s="55">
        <v>0</v>
      </c>
      <c r="J49" s="59">
        <v>19.953703703703702</v>
      </c>
    </row>
    <row r="50" spans="1:13">
      <c r="A50" s="178" t="s">
        <v>11</v>
      </c>
      <c r="B50" s="18" t="s">
        <v>200</v>
      </c>
      <c r="C50" s="54">
        <v>41.55465949820789</v>
      </c>
      <c r="D50" s="54">
        <v>7.5716845878136194</v>
      </c>
      <c r="E50" s="54">
        <v>0</v>
      </c>
      <c r="F50" s="54">
        <v>0</v>
      </c>
      <c r="G50" s="54">
        <v>8.4677419354838701</v>
      </c>
      <c r="H50" s="54">
        <v>22.468637992831539</v>
      </c>
      <c r="I50" s="55">
        <v>0</v>
      </c>
      <c r="J50" s="59">
        <v>19.937275985663085</v>
      </c>
    </row>
    <row r="51" spans="1:13">
      <c r="A51" s="178" t="s">
        <v>12</v>
      </c>
      <c r="B51" s="18" t="s">
        <v>201</v>
      </c>
      <c r="C51" s="54">
        <v>31.087962962962962</v>
      </c>
      <c r="D51" s="54">
        <v>9.2592592592592613</v>
      </c>
      <c r="E51" s="54">
        <v>0</v>
      </c>
      <c r="F51" s="54">
        <v>0</v>
      </c>
      <c r="G51" s="54">
        <v>13.495370370370372</v>
      </c>
      <c r="H51" s="54">
        <v>27.361111111111114</v>
      </c>
      <c r="I51" s="55">
        <v>0</v>
      </c>
      <c r="J51" s="59">
        <v>18.796296296296294</v>
      </c>
    </row>
    <row r="52" spans="1:13">
      <c r="A52" s="178" t="s">
        <v>13</v>
      </c>
      <c r="B52" s="18" t="s">
        <v>202</v>
      </c>
      <c r="C52" s="54">
        <v>36.178315412186372</v>
      </c>
      <c r="D52" s="54">
        <v>9.408602150537634</v>
      </c>
      <c r="E52" s="54">
        <v>0</v>
      </c>
      <c r="F52" s="54">
        <v>0</v>
      </c>
      <c r="G52" s="54">
        <v>12.522401433691757</v>
      </c>
      <c r="H52" s="54">
        <v>24.193548387096776</v>
      </c>
      <c r="I52" s="55">
        <v>0</v>
      </c>
      <c r="J52" s="59">
        <v>17.697132616487458</v>
      </c>
    </row>
    <row r="53" spans="1:13">
      <c r="A53" s="178" t="s">
        <v>5</v>
      </c>
      <c r="B53" s="18" t="s">
        <v>203</v>
      </c>
      <c r="C53" s="54">
        <v>43.929211469534053</v>
      </c>
      <c r="D53" s="54">
        <v>7.3028673835125444</v>
      </c>
      <c r="E53" s="54">
        <v>0</v>
      </c>
      <c r="F53" s="54">
        <v>0</v>
      </c>
      <c r="G53" s="54">
        <v>12.253584229390679</v>
      </c>
      <c r="H53" s="54">
        <v>16.50985663082437</v>
      </c>
      <c r="I53" s="55">
        <v>0</v>
      </c>
      <c r="J53" s="59">
        <v>20.004480286738353</v>
      </c>
    </row>
    <row r="54" spans="1:13">
      <c r="A54" s="178" t="s">
        <v>6</v>
      </c>
      <c r="B54" s="18" t="s">
        <v>204</v>
      </c>
      <c r="C54" s="54">
        <v>33.382936507936506</v>
      </c>
      <c r="D54" s="54">
        <v>13.640873015873014</v>
      </c>
      <c r="E54" s="54">
        <v>0</v>
      </c>
      <c r="F54" s="54">
        <v>0.29761904761904762</v>
      </c>
      <c r="G54" s="54">
        <v>6.820436507936507</v>
      </c>
      <c r="H54" s="54">
        <v>23.883928571428573</v>
      </c>
      <c r="I54" s="55">
        <v>0</v>
      </c>
      <c r="J54" s="59">
        <v>21.974206349206348</v>
      </c>
    </row>
    <row r="55" spans="1:13">
      <c r="A55" s="178" t="s">
        <v>7</v>
      </c>
      <c r="B55" s="18" t="s">
        <v>205</v>
      </c>
      <c r="C55" s="54">
        <v>43.965903992821893</v>
      </c>
      <c r="D55" s="54">
        <v>14.984297891431133</v>
      </c>
      <c r="E55" s="54">
        <v>0</v>
      </c>
      <c r="F55" s="54">
        <v>0.13458950201884254</v>
      </c>
      <c r="G55" s="54">
        <v>6.303275011215792</v>
      </c>
      <c r="H55" s="54">
        <v>12.943023777478688</v>
      </c>
      <c r="I55" s="55">
        <v>0</v>
      </c>
      <c r="J55" s="59">
        <v>21.668909825033648</v>
      </c>
    </row>
    <row r="56" spans="1:13">
      <c r="A56" s="178" t="s">
        <v>8</v>
      </c>
      <c r="B56" s="18" t="s">
        <v>206</v>
      </c>
      <c r="C56" s="54">
        <v>40.798611111111114</v>
      </c>
      <c r="D56" s="54">
        <v>13.738425925925924</v>
      </c>
      <c r="E56" s="54">
        <v>0</v>
      </c>
      <c r="F56" s="54">
        <v>0</v>
      </c>
      <c r="G56" s="54">
        <v>4.583333333333333</v>
      </c>
      <c r="H56" s="54">
        <v>16.93287037037037</v>
      </c>
      <c r="I56" s="55">
        <v>0</v>
      </c>
      <c r="J56" s="59">
        <v>23.94675925925926</v>
      </c>
    </row>
    <row r="57" spans="1:13">
      <c r="A57" s="178" t="s">
        <v>7</v>
      </c>
      <c r="B57" s="56" t="s">
        <v>207</v>
      </c>
      <c r="C57" s="57">
        <v>40.143369175627242</v>
      </c>
      <c r="D57" s="57">
        <v>11.559139784946236</v>
      </c>
      <c r="E57" s="57">
        <v>0</v>
      </c>
      <c r="F57" s="57">
        <v>0</v>
      </c>
      <c r="G57" s="57">
        <v>12.186379928315411</v>
      </c>
      <c r="H57" s="57">
        <v>20.228494623655912</v>
      </c>
      <c r="I57" s="58">
        <v>0</v>
      </c>
      <c r="J57" s="60">
        <v>15.882616487455195</v>
      </c>
    </row>
    <row r="59" spans="1:13">
      <c r="B59" s="167" t="s">
        <v>136</v>
      </c>
    </row>
    <row r="60" spans="1:13">
      <c r="B60" s="16"/>
      <c r="C60" s="198" t="s">
        <v>1</v>
      </c>
      <c r="D60" s="198" t="s">
        <v>2</v>
      </c>
      <c r="E60" s="198" t="s">
        <v>30</v>
      </c>
      <c r="F60" s="198" t="s">
        <v>19</v>
      </c>
      <c r="G60" s="198" t="s">
        <v>20</v>
      </c>
      <c r="H60" s="198" t="s">
        <v>29</v>
      </c>
      <c r="I60" s="198" t="s">
        <v>31</v>
      </c>
      <c r="J60" s="198" t="s">
        <v>35</v>
      </c>
      <c r="K60" s="126"/>
      <c r="L60" s="126"/>
    </row>
    <row r="61" spans="1:13">
      <c r="B61" s="17"/>
      <c r="C61" s="199"/>
      <c r="D61" s="199"/>
      <c r="E61" s="199"/>
      <c r="F61" s="199"/>
      <c r="G61" s="199"/>
      <c r="H61" s="199"/>
      <c r="I61" s="199"/>
      <c r="J61" s="199"/>
      <c r="K61" s="126"/>
      <c r="L61" s="126"/>
    </row>
    <row r="62" spans="1:13">
      <c r="B62" s="18" t="str">
        <f>MID('Data 1'!R83,6,3)&amp; "-" &amp;MID('Data 1'!R83,3,2)</f>
        <v>May-16</v>
      </c>
      <c r="C62" s="165">
        <f>VLOOKUP("Mercado Diario",'Data 1'!Q86:AE102,2,FALSE)</f>
        <v>26.74</v>
      </c>
      <c r="D62" s="165">
        <f>VLOOKUP("Mercado Intradiario",'Data 1'!Q86:AE102,2,FALSE)</f>
        <v>0</v>
      </c>
      <c r="E62" s="165">
        <f t="shared" ref="E62:E74" si="0">SUM(C62:D62)</f>
        <v>26.74</v>
      </c>
      <c r="F62" s="165">
        <f>'Data 1'!C89</f>
        <v>4.3599999999999994</v>
      </c>
      <c r="G62" s="165">
        <f>VLOOKUP("Pago capacidad",'Data 1'!Q86:AE102,2,FALSE)</f>
        <v>2.4300000000000002</v>
      </c>
      <c r="H62" s="165">
        <f>VLOOKUP("Servicio interrumpibilidad",'Data 1'!Q86:AE102,2,FALSE)</f>
        <v>2.0299999999999998</v>
      </c>
      <c r="I62" s="165">
        <f t="shared" ref="I62:I74" si="1">SUM(E62:H62)</f>
        <v>35.56</v>
      </c>
      <c r="J62" s="85">
        <f>VLOOKUP("Energía final MWh",'Data 1'!Q84:AE102,2,FALSE)/1000</f>
        <v>19666.744267000002</v>
      </c>
      <c r="K62" s="188">
        <f>E62+F62+G62+H62-VLOOKUP("Coste medio final (€/MWh)",'Data 1'!Q86:AE102,2,FALSE)</f>
        <v>0</v>
      </c>
      <c r="L62" s="63"/>
      <c r="M62" s="189"/>
    </row>
    <row r="63" spans="1:13">
      <c r="B63" s="18" t="str">
        <f>MID('Data 1'!S83,6,3)&amp; "-" &amp;MID('Data 1'!S83,3,2)</f>
        <v>Jun-16</v>
      </c>
      <c r="C63" s="165">
        <f>VLOOKUP("Mercado Diario",'Data 1'!Q86:AE102,3,FALSE)</f>
        <v>39.29</v>
      </c>
      <c r="D63" s="165">
        <f>VLOOKUP("Mercado Intradiario",'Data 1'!Q86:AE102,3,FALSE)</f>
        <v>0.01</v>
      </c>
      <c r="E63" s="165">
        <f t="shared" si="0"/>
        <v>39.299999999999997</v>
      </c>
      <c r="F63" s="165">
        <f>'Data 1'!D89</f>
        <v>2.5100000000000002</v>
      </c>
      <c r="G63" s="165">
        <f>VLOOKUP("Pago capacidad",'Data 1'!Q86:AE102,3,FALSE)</f>
        <v>2.89</v>
      </c>
      <c r="H63" s="165">
        <f>VLOOKUP("Servicio interrumpibilidad",'Data 1'!Q86:AE102,3,FALSE)</f>
        <v>2</v>
      </c>
      <c r="I63" s="165">
        <f t="shared" si="1"/>
        <v>46.699999999999996</v>
      </c>
      <c r="J63" s="85">
        <f>VLOOKUP("Energía final MWh",'Data 1'!Q84:AE102,3,FALSE)/1000</f>
        <v>20177.973198</v>
      </c>
      <c r="K63" s="188">
        <f>E63+F63+G63+H63-VLOOKUP("Coste medio final (€/MWh)",'Data 1'!Q86:AE102,3,FALSE)</f>
        <v>0</v>
      </c>
      <c r="L63" s="63" t="str">
        <f>MID('Data 1'!S83,6,LEN('Data 1'!S83))&amp; " " &amp;MID('Data 1'!S83,1,4)</f>
        <v>Junio 2016</v>
      </c>
      <c r="M63" s="189"/>
    </row>
    <row r="64" spans="1:13">
      <c r="B64" s="18" t="str">
        <f>MID('Data 1'!T83,6,3)&amp; "-" &amp;MID('Data 1'!T83,3,2)</f>
        <v>Jul-16</v>
      </c>
      <c r="C64" s="165">
        <f>VLOOKUP("Mercado Diario",'Data 1'!Q86:AE102,4,FALSE)</f>
        <v>41.07</v>
      </c>
      <c r="D64" s="165">
        <f>VLOOKUP("Mercado Intradiario",'Data 1'!Q86:AE102,4,FALSE)</f>
        <v>-0.01</v>
      </c>
      <c r="E64" s="165">
        <f t="shared" si="0"/>
        <v>41.06</v>
      </c>
      <c r="F64" s="165">
        <f>'Data 1'!E89</f>
        <v>2.0299999999999998</v>
      </c>
      <c r="G64" s="165">
        <f>VLOOKUP("Pago capacidad",'Data 1'!Q86:AE102,4,FALSE)</f>
        <v>3.27</v>
      </c>
      <c r="H64" s="165">
        <f>VLOOKUP("Servicio interrumpibilidad",'Data 1'!Q86:AE102,4,FALSE)</f>
        <v>1.82</v>
      </c>
      <c r="I64" s="165">
        <f t="shared" si="1"/>
        <v>48.180000000000007</v>
      </c>
      <c r="J64" s="85">
        <f>VLOOKUP("Energía final MWh",'Data 1'!Q84:AE102,4,FALSE)/1000</f>
        <v>22171.581584</v>
      </c>
      <c r="K64" s="188">
        <f>E64+F64+G64+H64-VLOOKUP("Coste medio final (€/MWh)",'Data 1'!Q86:AE102,4,FALSE)</f>
        <v>0</v>
      </c>
      <c r="L64" s="63"/>
      <c r="M64" s="189"/>
    </row>
    <row r="65" spans="2:32">
      <c r="B65" s="18" t="str">
        <f>MID('Data 1'!U83,6,3)&amp; "-" &amp;MID('Data 1'!U83,3,2)</f>
        <v>Ago-16</v>
      </c>
      <c r="C65" s="165">
        <f>VLOOKUP("Mercado Diario",'Data 1'!Q86:AE102,5,FALSE)</f>
        <v>41.63</v>
      </c>
      <c r="D65" s="165">
        <f>VLOOKUP("Mercado Intradiario",'Data 1'!Q86:AE102,5,FALSE)</f>
        <v>-0.01</v>
      </c>
      <c r="E65" s="165">
        <f t="shared" si="0"/>
        <v>41.620000000000005</v>
      </c>
      <c r="F65" s="165">
        <f>'Data 1'!F89</f>
        <v>2.4000000000000008</v>
      </c>
      <c r="G65" s="165">
        <f>VLOOKUP("Pago capacidad",'Data 1'!Q86:AE102,5,FALSE)</f>
        <v>2.2200000000000002</v>
      </c>
      <c r="H65" s="165">
        <f>VLOOKUP("Servicio interrumpibilidad",'Data 1'!Q86:AE102,5,FALSE)</f>
        <v>1.88</v>
      </c>
      <c r="I65" s="165">
        <f t="shared" si="1"/>
        <v>48.120000000000005</v>
      </c>
      <c r="J65" s="85">
        <f>VLOOKUP("Energía final MWh",'Data 1'!Q84:AE102,5,FALSE)/1000</f>
        <v>21376.612877</v>
      </c>
      <c r="K65" s="188">
        <f>E65+F65+G65+H65-VLOOKUP("Coste medio final (€/MWh)",'Data 1'!Q86:AE102,5,FALSE)</f>
        <v>0</v>
      </c>
      <c r="L65" s="63"/>
      <c r="M65" s="189"/>
    </row>
    <row r="66" spans="2:32">
      <c r="B66" s="18" t="str">
        <f>MID('Data 1'!V83,6,3)&amp; "-" &amp;MID('Data 1'!V83,3,2)</f>
        <v>Sep-16</v>
      </c>
      <c r="C66" s="165">
        <f>VLOOKUP("Mercado Diario",'Data 1'!Q86:AE102,6,FALSE)</f>
        <v>44.17</v>
      </c>
      <c r="D66" s="165">
        <f>VLOOKUP("Mercado Intradiario",'Data 1'!Q86:AE102,6,FALSE)</f>
        <v>0</v>
      </c>
      <c r="E66" s="165">
        <f t="shared" si="0"/>
        <v>44.17</v>
      </c>
      <c r="F66" s="165">
        <f>'Data 1'!G89</f>
        <v>2.4600000000000004</v>
      </c>
      <c r="G66" s="165">
        <f>VLOOKUP("Pago capacidad",'Data 1'!Q86:AE102,6,FALSE)</f>
        <v>2.54</v>
      </c>
      <c r="H66" s="165">
        <f>VLOOKUP("Servicio interrumpibilidad",'Data 1'!Q86:AE102,6,FALSE)</f>
        <v>1.94</v>
      </c>
      <c r="I66" s="165">
        <f t="shared" si="1"/>
        <v>51.11</v>
      </c>
      <c r="J66" s="85">
        <f>VLOOKUP("Energía final MWh",'Data 1'!Q84:AE102,6,FALSE)/1000</f>
        <v>20759.170714</v>
      </c>
      <c r="K66" s="188">
        <f>E66+F66+G66+H66-VLOOKUP("Coste medio final (€/MWh)",'Data 1'!Q86:AE102,6,FALSE)</f>
        <v>0</v>
      </c>
      <c r="L66" s="63"/>
      <c r="M66" s="189"/>
    </row>
    <row r="67" spans="2:32">
      <c r="B67" s="18" t="str">
        <f>MID('Data 1'!W83,6,3)&amp; "-" &amp;MID('Data 1'!W83,3,2)</f>
        <v>Oct-16</v>
      </c>
      <c r="C67" s="165">
        <f>VLOOKUP("Mercado Diario",'Data 1'!Q86:AE102,7,FALSE)</f>
        <v>53.79</v>
      </c>
      <c r="D67" s="165">
        <f>VLOOKUP("Mercado Intradiario",'Data 1'!Q86:AE102,7,FALSE)</f>
        <v>-0.01</v>
      </c>
      <c r="E67" s="165">
        <f t="shared" si="0"/>
        <v>53.78</v>
      </c>
      <c r="F67" s="165">
        <f>'Data 1'!H89</f>
        <v>3</v>
      </c>
      <c r="G67" s="165">
        <f>VLOOKUP("Pago capacidad",'Data 1'!Q86:AE102,7,FALSE)</f>
        <v>2.37</v>
      </c>
      <c r="H67" s="165">
        <f>VLOOKUP("Servicio interrumpibilidad",'Data 1'!Q86:AE102,7,FALSE)</f>
        <v>2.04</v>
      </c>
      <c r="I67" s="165">
        <f t="shared" si="1"/>
        <v>61.19</v>
      </c>
      <c r="J67" s="85">
        <f>VLOOKUP("Energía final MWh",'Data 1'!Q84:AE102,7,FALSE)/1000</f>
        <v>19754.261691</v>
      </c>
      <c r="K67" s="188">
        <f>E67+F67+G67+H67-VLOOKUP("Coste medio final (€/MWh)",'Data 1'!Q86:AE102,7,FALSE)</f>
        <v>0</v>
      </c>
      <c r="L67" s="63"/>
      <c r="M67" s="189"/>
    </row>
    <row r="68" spans="2:32">
      <c r="B68" s="18" t="str">
        <f>MID('Data 1'!X83,6,3)&amp; "-" &amp;MID('Data 1'!X83,3,2)</f>
        <v>Nov-16</v>
      </c>
      <c r="C68" s="165">
        <f>VLOOKUP("Mercado Diario",'Data 1'!Q86:AE102,8,FALSE)</f>
        <v>57.4</v>
      </c>
      <c r="D68" s="165">
        <f>VLOOKUP("Mercado Intradiario",'Data 1'!Q86:AE102,8,FALSE)</f>
        <v>0.01</v>
      </c>
      <c r="E68" s="165">
        <f t="shared" si="0"/>
        <v>57.41</v>
      </c>
      <c r="F68" s="165">
        <f>'Data 1'!I89</f>
        <v>1.9300000000000002</v>
      </c>
      <c r="G68" s="165">
        <f>VLOOKUP("Pago capacidad",'Data 1'!Q86:AE102,8,FALSE)</f>
        <v>2.5499999999999998</v>
      </c>
      <c r="H68" s="165">
        <f>VLOOKUP("Servicio interrumpibilidad",'Data 1'!Q86:AE102,8,FALSE)</f>
        <v>1.95</v>
      </c>
      <c r="I68" s="165">
        <f t="shared" si="1"/>
        <v>63.839999999999996</v>
      </c>
      <c r="J68" s="85">
        <f>VLOOKUP("Energía final MWh",'Data 1'!Q84:AE102,8,FALSE)/1000</f>
        <v>20548.101438000002</v>
      </c>
      <c r="K68" s="188">
        <f>E68+F68+G68+H68-VLOOKUP("Coste medio final (€/MWh)",'Data 1'!Q86:AE102,8,FALSE)</f>
        <v>0</v>
      </c>
      <c r="L68" s="63"/>
      <c r="M68" s="189"/>
    </row>
    <row r="69" spans="2:32">
      <c r="B69" s="18" t="str">
        <f>MID('Data 1'!Y83,6,3)&amp; "-" &amp;MID('Data 1'!Y83,3,2)</f>
        <v>Dic-16</v>
      </c>
      <c r="C69" s="165">
        <f>VLOOKUP("Mercado Diario",'Data 1'!Q86:AE102,9,FALSE)</f>
        <v>61.86</v>
      </c>
      <c r="D69" s="165">
        <f>VLOOKUP("Mercado Intradiario",'Data 1'!Q86:AE102,9,FALSE)</f>
        <v>0.01</v>
      </c>
      <c r="E69" s="165">
        <f t="shared" si="0"/>
        <v>61.87</v>
      </c>
      <c r="F69" s="165">
        <f>'Data 1'!J89</f>
        <v>2.0899999999999994</v>
      </c>
      <c r="G69" s="165">
        <f>VLOOKUP("Pago capacidad",'Data 1'!Q86:AE102,9,FALSE)</f>
        <v>3.16</v>
      </c>
      <c r="H69" s="165">
        <f>VLOOKUP("Servicio interrumpibilidad",'Data 1'!Q86:AE102,9,FALSE)</f>
        <v>1.88</v>
      </c>
      <c r="I69" s="165">
        <f t="shared" si="1"/>
        <v>68.999999999999986</v>
      </c>
      <c r="J69" s="85">
        <f>VLOOKUP("Energía final MWh",'Data 1'!Q84:AE102,9,FALSE)/1000</f>
        <v>21280.186475000002</v>
      </c>
      <c r="K69" s="188">
        <f>E69+F69+G69+H69-VLOOKUP("Coste medio final (€/MWh)",'Data 1'!Q86:AE102,9,FALSE)</f>
        <v>0</v>
      </c>
      <c r="L69" s="63"/>
      <c r="M69" s="189"/>
    </row>
    <row r="70" spans="2:32">
      <c r="B70" s="18" t="str">
        <f>MID('Data 1'!Z83,6,3)&amp; "-" &amp;MID('Data 1'!Z83,3,2)</f>
        <v>Ene-17</v>
      </c>
      <c r="C70" s="165">
        <f>VLOOKUP("Mercado Diario",'Data 1'!Q86:AE102,10,FALSE)</f>
        <v>73.55</v>
      </c>
      <c r="D70" s="165">
        <f>VLOOKUP("Mercado Intradiario",'Data 1'!Q86:AE102,10,FALSE)</f>
        <v>0.03</v>
      </c>
      <c r="E70" s="165">
        <f t="shared" si="0"/>
        <v>73.58</v>
      </c>
      <c r="F70" s="165">
        <f>'Data 1'!K89</f>
        <v>2.9000000000000004</v>
      </c>
      <c r="G70" s="165">
        <f>VLOOKUP("Pago capacidad",'Data 1'!Q86:AE102,10,FALSE)</f>
        <v>3.25</v>
      </c>
      <c r="H70" s="165">
        <f>VLOOKUP("Servicio interrumpibilidad",'Data 1'!Q86:AE102,10,FALSE)</f>
        <v>1.89</v>
      </c>
      <c r="I70" s="165">
        <f t="shared" si="1"/>
        <v>81.62</v>
      </c>
      <c r="J70" s="85">
        <f>VLOOKUP("Energía final MWh",'Data 1'!Q84:AE102,10,FALSE)/1000</f>
        <v>23050.157873</v>
      </c>
      <c r="K70" s="188">
        <f>E70+F70+G70+H70-VLOOKUP("Coste medio final (€/MWh)",'Data 1'!Q86:AE102,10,FALSE)</f>
        <v>0</v>
      </c>
      <c r="L70" s="63"/>
      <c r="M70" s="189"/>
    </row>
    <row r="71" spans="2:32">
      <c r="B71" s="18" t="str">
        <f>MID('Data 1'!AA83,6,3)&amp; "-" &amp;MID('Data 1'!AA83,3,2)</f>
        <v>Feb-17</v>
      </c>
      <c r="C71" s="165">
        <f>VLOOKUP("Mercado Diario",'Data 1'!Q86:AE102,11,FALSE)</f>
        <v>53.04</v>
      </c>
      <c r="D71" s="165">
        <f>VLOOKUP("Mercado Intradiario",'Data 1'!Q86:AE102,11,FALSE)</f>
        <v>0.01</v>
      </c>
      <c r="E71" s="165">
        <f t="shared" si="0"/>
        <v>53.05</v>
      </c>
      <c r="F71" s="165">
        <f>'Data 1'!L89</f>
        <v>2.8400000000000003</v>
      </c>
      <c r="G71" s="165">
        <f>VLOOKUP("Pago capacidad",'Data 1'!Q86:AE102,11,FALSE)</f>
        <v>3.26</v>
      </c>
      <c r="H71" s="165">
        <f>VLOOKUP("Servicio interrumpibilidad",'Data 1'!Q86:AE102,11,FALSE)</f>
        <v>2.19</v>
      </c>
      <c r="I71" s="165">
        <f t="shared" si="1"/>
        <v>61.339999999999996</v>
      </c>
      <c r="J71" s="85">
        <f>VLOOKUP("Energía final MWh",'Data 1'!Q84:AE102,11,FALSE)/1000</f>
        <v>19924.788991999998</v>
      </c>
      <c r="K71" s="188">
        <f>E71+F71+G71+H71-VLOOKUP("Coste medio final (€/MWh)",'Data 1'!Q86:AE102,11,FALSE)</f>
        <v>0</v>
      </c>
      <c r="L71" s="63"/>
      <c r="M71" s="189"/>
    </row>
    <row r="72" spans="2:32">
      <c r="B72" s="18" t="str">
        <f>MID('Data 1'!AB83,6,3)&amp; "-" &amp;MID('Data 1'!AB83,3,2)</f>
        <v>Mar-17</v>
      </c>
      <c r="C72" s="165">
        <f>VLOOKUP("Mercado Diario",'Data 1'!Q86:AE102,12,FALSE)</f>
        <v>43.93</v>
      </c>
      <c r="D72" s="165">
        <f>VLOOKUP("Mercado Intradiario",'Data 1'!Q86:AE102,12,FALSE)</f>
        <v>0.01</v>
      </c>
      <c r="E72" s="165">
        <f t="shared" si="0"/>
        <v>43.94</v>
      </c>
      <c r="F72" s="165">
        <f>'Data 1'!M89</f>
        <v>3.19</v>
      </c>
      <c r="G72" s="165">
        <f>VLOOKUP("Pago capacidad",'Data 1'!Q86:AE102,12,FALSE)</f>
        <v>2.63</v>
      </c>
      <c r="H72" s="165">
        <f>VLOOKUP("Servicio interrumpibilidad",'Data 1'!Q86:AE102,12,FALSE)</f>
        <v>2.0699999999999998</v>
      </c>
      <c r="I72" s="165">
        <f t="shared" si="1"/>
        <v>51.83</v>
      </c>
      <c r="J72" s="85">
        <f>VLOOKUP("Energía final MWh",'Data 1'!Q84:AE102,12,FALSE)/1000</f>
        <v>21040.842763000001</v>
      </c>
      <c r="K72" s="188">
        <f>E72+F72+G72+H72-VLOOKUP("Coste medio final (€/MWh)",'Data 1'!Q86:AE102,12,FALSE)</f>
        <v>0</v>
      </c>
      <c r="L72" s="63"/>
      <c r="M72" s="189"/>
    </row>
    <row r="73" spans="2:32">
      <c r="B73" s="18" t="str">
        <f>MID('Data 1'!AC83,6,3)&amp; "-" &amp;MID('Data 1'!AC83,3,2)</f>
        <v>Abr-17</v>
      </c>
      <c r="C73" s="165">
        <f>VLOOKUP("Mercado Diario",'Data 1'!Q86:AE102,13,FALSE)</f>
        <v>44.2</v>
      </c>
      <c r="D73" s="165">
        <f>VLOOKUP("Mercado Intradiario",'Data 1'!Q86:AE102,13,FALSE)</f>
        <v>0</v>
      </c>
      <c r="E73" s="165">
        <f t="shared" si="0"/>
        <v>44.2</v>
      </c>
      <c r="F73" s="165">
        <f>'Data 1'!N89</f>
        <v>3.2699999999999996</v>
      </c>
      <c r="G73" s="165">
        <f>VLOOKUP("Pago capacidad",'Data 1'!Q86:AE102,13,FALSE)</f>
        <v>2.4500000000000002</v>
      </c>
      <c r="H73" s="165">
        <f>VLOOKUP("Servicio interrumpibilidad",'Data 1'!Q86:AE102,13,FALSE)</f>
        <v>2.31</v>
      </c>
      <c r="I73" s="165">
        <f t="shared" si="1"/>
        <v>52.230000000000004</v>
      </c>
      <c r="J73" s="85">
        <f>VLOOKUP("Energía final MWh",'Data 1'!Q84:AE102,13,FALSE)/1000</f>
        <v>18901.103403999998</v>
      </c>
      <c r="K73" s="188">
        <f>E73+F73+G73+H73-VLOOKUP("Coste medio final (€/MWh)",'Data 1'!Q86:AE102,13,FALSE)</f>
        <v>0</v>
      </c>
      <c r="L73" s="189"/>
      <c r="M73" s="189"/>
    </row>
    <row r="74" spans="2:32">
      <c r="B74" s="56" t="str">
        <f>MID('Data 1'!AD83,6,3)&amp; "-" &amp;MID('Data 1'!AD83,3,2)</f>
        <v>May-17</v>
      </c>
      <c r="C74" s="181">
        <f>VLOOKUP("Mercado Diario",'Data 1'!Q86:AE102,14,FALSE)</f>
        <v>47.6</v>
      </c>
      <c r="D74" s="181">
        <f>VLOOKUP("Mercado Intradiario",'Data 1'!Q86:AE102,14,FALSE)</f>
        <v>0</v>
      </c>
      <c r="E74" s="181">
        <f t="shared" si="0"/>
        <v>47.6</v>
      </c>
      <c r="F74" s="181">
        <f>'Data 1'!O89</f>
        <v>2.12</v>
      </c>
      <c r="G74" s="181">
        <f>VLOOKUP("Pago capacidad",'Data 1'!Q86:AE102,14,FALSE)</f>
        <v>2.4300000000000002</v>
      </c>
      <c r="H74" s="181">
        <f>VLOOKUP("Servicio interrumpibilidad",'Data 1'!Q86:AE102,14,FALSE)</f>
        <v>2.17</v>
      </c>
      <c r="I74" s="181">
        <f t="shared" si="1"/>
        <v>54.32</v>
      </c>
      <c r="J74" s="182">
        <f>VLOOKUP("Energía final MWh",'Data 1'!Q84:AE102,14,FALSE)/1000</f>
        <v>20151.545136000001</v>
      </c>
      <c r="K74" s="188">
        <f>E74+F74+G74+H74-VLOOKUP("Coste medio final (€/MWh)",'Data 1'!Q86:AE102,14,FALSE)</f>
        <v>0</v>
      </c>
      <c r="L74" s="190">
        <f>(I74/I73-1)*100</f>
        <v>4.0015316867700434</v>
      </c>
      <c r="M74" s="190">
        <f>(I74/I62-1)*100</f>
        <v>52.755905511811022</v>
      </c>
    </row>
    <row r="75" spans="2:32">
      <c r="B75" s="126"/>
      <c r="C75" s="126"/>
      <c r="L75" s="126"/>
    </row>
    <row r="76" spans="2:32">
      <c r="B76" s="167" t="s">
        <v>56</v>
      </c>
    </row>
    <row r="77" spans="2:32" ht="45">
      <c r="B77" s="105"/>
      <c r="C77" s="105" t="s">
        <v>1</v>
      </c>
      <c r="D77" s="105" t="s">
        <v>2</v>
      </c>
      <c r="E77" s="105" t="s">
        <v>57</v>
      </c>
      <c r="F77" s="105" t="s">
        <v>39</v>
      </c>
      <c r="G77" s="105" t="s">
        <v>40</v>
      </c>
      <c r="H77" s="105" t="s">
        <v>19</v>
      </c>
      <c r="I77" s="105" t="s">
        <v>38</v>
      </c>
      <c r="J77" s="105" t="s">
        <v>24</v>
      </c>
      <c r="K77" s="105" t="s">
        <v>45</v>
      </c>
      <c r="L77" s="105" t="s">
        <v>0</v>
      </c>
    </row>
    <row r="78" spans="2:32">
      <c r="B78" s="102" t="s">
        <v>41</v>
      </c>
      <c r="C78" s="163">
        <f>VLOOKUP("Mercado Diario",'Data 1'!Q86:AE102,14,FALSE)</f>
        <v>47.6</v>
      </c>
      <c r="D78" s="163">
        <f>VLOOKUP("Mercado Intradiario",'Data 1'!Q86:AE102,14,FALSE)</f>
        <v>0</v>
      </c>
      <c r="E78" s="163">
        <f>SUM(C78:D78)</f>
        <v>47.6</v>
      </c>
      <c r="F78" s="163">
        <f>VLOOKUP("Pago capacidad",'Data 1'!Q86:AE102,14,FALSE)</f>
        <v>2.4300000000000002</v>
      </c>
      <c r="G78" s="163">
        <f>VLOOKUP("Servicio interrumpibilidad",'Data 1'!Q86:AE102,14,FALSE)</f>
        <v>2.17</v>
      </c>
      <c r="H78" s="163">
        <f>SUM(I78,J78:K78)</f>
        <v>2.12</v>
      </c>
      <c r="I78" s="163">
        <f>VLOOKUP("Restricciones PBF",'Data 1'!Q86:AE102,14,FALSE)</f>
        <v>1.45</v>
      </c>
      <c r="J78" s="163">
        <f>VLOOKUP("Banda secundaria",'Data 1'!Q86:AE102,14,FALSE)</f>
        <v>0.65</v>
      </c>
      <c r="K78" s="163">
        <f>'Data 1'!O83+'Data 1'!O86+'Data 1'!O87+'Data 1'!O88+O84</f>
        <v>2.0000000000000004E-2</v>
      </c>
      <c r="L78" s="163">
        <f>'Data 1'!AD102</f>
        <v>54.32</v>
      </c>
      <c r="M78" s="166">
        <f>L78-SUM(E78:H78)</f>
        <v>0</v>
      </c>
    </row>
    <row r="80" spans="2:32">
      <c r="B80" s="106" t="s">
        <v>21</v>
      </c>
      <c r="C80" s="127"/>
      <c r="D80" s="127"/>
      <c r="E80" s="127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6"/>
      <c r="Q80" s="126"/>
      <c r="R80" s="126" t="s">
        <v>7</v>
      </c>
      <c r="S80" s="126" t="s">
        <v>9</v>
      </c>
      <c r="T80" s="126" t="s">
        <v>9</v>
      </c>
      <c r="U80" s="126" t="s">
        <v>8</v>
      </c>
      <c r="V80" s="126" t="s">
        <v>10</v>
      </c>
      <c r="W80" s="126" t="s">
        <v>11</v>
      </c>
      <c r="X80" s="126" t="s">
        <v>12</v>
      </c>
      <c r="Y80" s="126" t="s">
        <v>13</v>
      </c>
      <c r="Z80" s="126" t="s">
        <v>5</v>
      </c>
      <c r="AA80" s="126" t="s">
        <v>6</v>
      </c>
      <c r="AB80" s="126" t="s">
        <v>7</v>
      </c>
      <c r="AC80" s="126" t="s">
        <v>8</v>
      </c>
      <c r="AD80" s="126" t="s">
        <v>7</v>
      </c>
      <c r="AE80" s="126"/>
      <c r="AF80" s="126"/>
    </row>
    <row r="81" spans="2:32">
      <c r="B81" s="108"/>
      <c r="C81" s="129" t="str">
        <f t="shared" ref="C81:O81" si="2">MID(R83,6,1)</f>
        <v>M</v>
      </c>
      <c r="D81" s="129" t="str">
        <f t="shared" si="2"/>
        <v>J</v>
      </c>
      <c r="E81" s="129" t="str">
        <f t="shared" si="2"/>
        <v>J</v>
      </c>
      <c r="F81" s="129" t="str">
        <f t="shared" si="2"/>
        <v>A</v>
      </c>
      <c r="G81" s="129" t="str">
        <f t="shared" si="2"/>
        <v>S</v>
      </c>
      <c r="H81" s="129" t="str">
        <f t="shared" si="2"/>
        <v>O</v>
      </c>
      <c r="I81" s="129" t="str">
        <f t="shared" si="2"/>
        <v>N</v>
      </c>
      <c r="J81" s="129" t="str">
        <f t="shared" si="2"/>
        <v>D</v>
      </c>
      <c r="K81" s="129" t="str">
        <f t="shared" si="2"/>
        <v>E</v>
      </c>
      <c r="L81" s="129" t="str">
        <f t="shared" si="2"/>
        <v>F</v>
      </c>
      <c r="M81" s="129" t="str">
        <f t="shared" si="2"/>
        <v>M</v>
      </c>
      <c r="N81" s="129" t="str">
        <f t="shared" si="2"/>
        <v>A</v>
      </c>
      <c r="O81" s="129" t="str">
        <f t="shared" si="2"/>
        <v>M</v>
      </c>
      <c r="P81" s="126"/>
      <c r="Q81" s="109" t="s">
        <v>32</v>
      </c>
      <c r="R81" s="109" t="s">
        <v>100</v>
      </c>
      <c r="S81" s="109" t="s">
        <v>100</v>
      </c>
      <c r="T81" s="109" t="s">
        <v>100</v>
      </c>
      <c r="U81" s="109" t="s">
        <v>100</v>
      </c>
      <c r="V81" s="109" t="s">
        <v>100</v>
      </c>
      <c r="W81" s="109" t="s">
        <v>100</v>
      </c>
      <c r="X81" s="109" t="s">
        <v>100</v>
      </c>
      <c r="Y81" s="109" t="s">
        <v>100</v>
      </c>
      <c r="Z81" s="109" t="s">
        <v>100</v>
      </c>
      <c r="AA81" s="109" t="s">
        <v>100</v>
      </c>
      <c r="AB81" s="109" t="s">
        <v>100</v>
      </c>
      <c r="AC81" s="109" t="s">
        <v>100</v>
      </c>
      <c r="AD81" s="109" t="s">
        <v>100</v>
      </c>
      <c r="AE81" s="130"/>
      <c r="AF81" s="126"/>
    </row>
    <row r="82" spans="2:32">
      <c r="B82" s="109" t="s">
        <v>23</v>
      </c>
      <c r="C82" s="131">
        <f>VLOOKUP("Restricciones PBF",$Q$86:$AE$102,2,FALSE)</f>
        <v>2.99</v>
      </c>
      <c r="D82" s="131">
        <f>VLOOKUP("Restricciones PBF",$Q$86:$AE$102,3,FALSE)</f>
        <v>1.84</v>
      </c>
      <c r="E82" s="131">
        <f>VLOOKUP("Restricciones PBF",$Q$86:$AE$102,4,FALSE)</f>
        <v>1.55</v>
      </c>
      <c r="F82" s="131">
        <f>VLOOKUP("Restricciones PBF",$Q$86:$AE$102,5,FALSE)</f>
        <v>1.85</v>
      </c>
      <c r="G82" s="131">
        <f>VLOOKUP("Restricciones PBF",$Q$86:$AE$102,6,FALSE)</f>
        <v>1.91</v>
      </c>
      <c r="H82" s="131">
        <f>VLOOKUP("Restricciones PBF",$Q$86:$AE$102,7,FALSE)</f>
        <v>2.04</v>
      </c>
      <c r="I82" s="131">
        <f>VLOOKUP("Restricciones PBF",$Q$86:$AE$102,8,FALSE)</f>
        <v>0.89</v>
      </c>
      <c r="J82" s="131">
        <f>VLOOKUP("Restricciones PBF",$Q$86:$AE$102,9,FALSE)</f>
        <v>1.1299999999999999</v>
      </c>
      <c r="K82" s="131">
        <f>VLOOKUP("Restricciones PBF",$Q$86:$AE$102,10,FALSE)</f>
        <v>1.48</v>
      </c>
      <c r="L82" s="131">
        <f>VLOOKUP("Restricciones PBF",$Q$86:$AE$102,11,FALSE)</f>
        <v>1.82</v>
      </c>
      <c r="M82" s="131">
        <f>VLOOKUP("Restricciones PBF",$Q$86:$AE$102,12,FALSE)</f>
        <v>2.2200000000000002</v>
      </c>
      <c r="N82" s="131">
        <f>VLOOKUP("Restricciones PBF",$Q$86:$AE$102,13,FALSE)</f>
        <v>2.4</v>
      </c>
      <c r="O82" s="131">
        <f>VLOOKUP("Restricciones PBF",$Q$86:$AE$102,14,FALSE)</f>
        <v>1.45</v>
      </c>
      <c r="P82" s="126"/>
      <c r="Q82" s="109" t="s">
        <v>101</v>
      </c>
      <c r="R82" s="109">
        <v>201605</v>
      </c>
      <c r="S82" s="109">
        <v>201606</v>
      </c>
      <c r="T82" s="109">
        <v>201607</v>
      </c>
      <c r="U82" s="109">
        <v>201608</v>
      </c>
      <c r="V82" s="109">
        <v>201609</v>
      </c>
      <c r="W82" s="109">
        <v>201610</v>
      </c>
      <c r="X82" s="109">
        <v>201611</v>
      </c>
      <c r="Y82" s="109">
        <v>201612</v>
      </c>
      <c r="Z82" s="109">
        <v>201701</v>
      </c>
      <c r="AA82" s="109">
        <v>201702</v>
      </c>
      <c r="AB82" s="109">
        <v>201703</v>
      </c>
      <c r="AC82" s="109">
        <v>201704</v>
      </c>
      <c r="AD82" s="109">
        <v>201705</v>
      </c>
      <c r="AE82" s="130"/>
      <c r="AF82" s="126"/>
    </row>
    <row r="83" spans="2:32">
      <c r="B83" s="109" t="s">
        <v>28</v>
      </c>
      <c r="C83" s="131">
        <f>VLOOKUP("Restricciones TR",$Q$86:$AE$102,2,FALSE)</f>
        <v>0.13</v>
      </c>
      <c r="D83" s="131">
        <f>VLOOKUP("Restricciones TR",$Q$86:$AE$102,3,FALSE)</f>
        <v>0.1</v>
      </c>
      <c r="E83" s="131">
        <f>VLOOKUP("Restricciones TR",$Q$86:$AE$102,4,FALSE)</f>
        <v>0.03</v>
      </c>
      <c r="F83" s="131">
        <f>VLOOKUP("Restricciones TR",$Q$86:$AE$102,5,FALSE)</f>
        <v>7.0000000000000007E-2</v>
      </c>
      <c r="G83" s="131">
        <f>VLOOKUP("Restricciones TR",$Q$86:$AE$102,6,FALSE)</f>
        <v>0.09</v>
      </c>
      <c r="H83" s="131">
        <f>VLOOKUP("Restricciones TR",$Q$86:$AE$102,7,FALSE)</f>
        <v>0.21</v>
      </c>
      <c r="I83" s="131">
        <f>VLOOKUP("Restricciones TR",$Q$86:$AE$102,8,FALSE)</f>
        <v>0.16</v>
      </c>
      <c r="J83" s="131">
        <f>VLOOKUP("Restricciones TR",$Q$86:$AE$102,9,FALSE)</f>
        <v>0.13</v>
      </c>
      <c r="K83" s="131">
        <f>VLOOKUP("Restricciones TR",$Q$86:$AE$102,10,FALSE)</f>
        <v>0.17</v>
      </c>
      <c r="L83" s="131">
        <f>VLOOKUP("Restricciones TR",$Q$86:$AE$102,11,FALSE)</f>
        <v>0.23</v>
      </c>
      <c r="M83" s="131">
        <f>VLOOKUP("Restricciones TR",$Q$86:$AE$102,12,FALSE)</f>
        <v>0.14000000000000001</v>
      </c>
      <c r="N83" s="131">
        <f>VLOOKUP("Restricciones TR",$Q$86:$AE$102,13,FALSE)</f>
        <v>0.09</v>
      </c>
      <c r="O83" s="131">
        <f>VLOOKUP("Restricciones TR",$Q$86:$AE$102,14,FALSE)</f>
        <v>0.03</v>
      </c>
      <c r="P83" s="126"/>
      <c r="Q83" s="109" t="s">
        <v>102</v>
      </c>
      <c r="R83" s="109" t="s">
        <v>208</v>
      </c>
      <c r="S83" s="109" t="s">
        <v>209</v>
      </c>
      <c r="T83" s="109" t="s">
        <v>210</v>
      </c>
      <c r="U83" s="109" t="s">
        <v>211</v>
      </c>
      <c r="V83" s="109" t="s">
        <v>212</v>
      </c>
      <c r="W83" s="109" t="s">
        <v>213</v>
      </c>
      <c r="X83" s="109" t="s">
        <v>214</v>
      </c>
      <c r="Y83" s="109" t="s">
        <v>103</v>
      </c>
      <c r="Z83" s="109" t="s">
        <v>215</v>
      </c>
      <c r="AA83" s="109" t="s">
        <v>216</v>
      </c>
      <c r="AB83" s="109" t="s">
        <v>217</v>
      </c>
      <c r="AC83" s="109" t="s">
        <v>218</v>
      </c>
      <c r="AD83" s="109" t="s">
        <v>219</v>
      </c>
      <c r="AE83" s="130"/>
      <c r="AF83" s="126"/>
    </row>
    <row r="84" spans="2:32">
      <c r="B84" s="109" t="s">
        <v>27</v>
      </c>
      <c r="C84" s="131">
        <f>VLOOKUP("Reserva subir",$Q$86:$AE$102,2,FALSE)</f>
        <v>0.3</v>
      </c>
      <c r="D84" s="131">
        <f>VLOOKUP("Reserva subir",$Q$86:$AE$102,3,FALSE)</f>
        <v>0</v>
      </c>
      <c r="E84" s="131">
        <f>VLOOKUP("Reserva subir",$Q$86:$AE$102,4,FALSE)</f>
        <v>0</v>
      </c>
      <c r="F84" s="131">
        <f>VLOOKUP("Reserva subir",$Q$86:$AE$102,5,FALSE)</f>
        <v>0</v>
      </c>
      <c r="G84" s="131">
        <f>VLOOKUP("Reserva subir",$Q$86:$AE$102,6,FALSE)</f>
        <v>0.02</v>
      </c>
      <c r="H84" s="131">
        <f>VLOOKUP("Reserva subir",$Q$86:$AE$102,7,FALSE)</f>
        <v>0.25</v>
      </c>
      <c r="I84" s="131">
        <f>VLOOKUP("Reserva subir",$Q$86:$AE$102,8,FALSE)</f>
        <v>0.15</v>
      </c>
      <c r="J84" s="131">
        <f>VLOOKUP("Reserva subir",$Q$86:$AE$102,9,FALSE)</f>
        <v>0.08</v>
      </c>
      <c r="K84" s="131">
        <f>VLOOKUP("Reserva subir",$Q$86:$AE$102,10,FALSE)</f>
        <v>0.27</v>
      </c>
      <c r="L84" s="131">
        <f>VLOOKUP("Reserva subir",$Q$86:$AE$102,11,FALSE)</f>
        <v>0.02</v>
      </c>
      <c r="M84" s="131">
        <f>VLOOKUP("Reserva subir",$Q$86:$AE$102,12,FALSE)</f>
        <v>7.0000000000000007E-2</v>
      </c>
      <c r="N84" s="131">
        <f>VLOOKUP("Reserva subir",$Q$86:$AE$102,13,FALSE)</f>
        <v>0.01</v>
      </c>
      <c r="O84" s="131">
        <f>VLOOKUP("Reserva subir",$Q$86:$AE$102,14,FALSE)</f>
        <v>0</v>
      </c>
      <c r="P84" s="126"/>
      <c r="Q84" s="109" t="s">
        <v>104</v>
      </c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2"/>
      <c r="AF84" s="126"/>
    </row>
    <row r="85" spans="2:32">
      <c r="B85" s="109" t="s">
        <v>14</v>
      </c>
      <c r="C85" s="131">
        <f>VLOOKUP("Banda Secundaria",$Q$86:$AE$102,2,FALSE)</f>
        <v>0.93</v>
      </c>
      <c r="D85" s="131">
        <f>VLOOKUP("Banda Secundaria",$Q$86:$AE$102,3,FALSE)</f>
        <v>0.52</v>
      </c>
      <c r="E85" s="131">
        <f>VLOOKUP("Banda Secundaria",$Q$86:$AE$102,4,FALSE)</f>
        <v>0.47</v>
      </c>
      <c r="F85" s="131">
        <f>VLOOKUP("Banda Secundaria",$Q$86:$AE$102,5,FALSE)</f>
        <v>0.48</v>
      </c>
      <c r="G85" s="131">
        <f>VLOOKUP("Banda Secundaria",$Q$86:$AE$102,6,FALSE)</f>
        <v>0.39</v>
      </c>
      <c r="H85" s="131">
        <f>VLOOKUP("Banda Secundaria",$Q$86:$AE$102,7,FALSE)</f>
        <v>0.51</v>
      </c>
      <c r="I85" s="131">
        <f>VLOOKUP("Banda Secundaria",$Q$86:$AE$102,8,FALSE)</f>
        <v>0.68</v>
      </c>
      <c r="J85" s="131">
        <f>VLOOKUP("Banda Secundaria",$Q$86:$AE$102,9,FALSE)</f>
        <v>0.63</v>
      </c>
      <c r="K85" s="131">
        <f>VLOOKUP("Banda Secundaria",$Q$86:$AE$102,10,FALSE)</f>
        <v>0.87</v>
      </c>
      <c r="L85" s="131">
        <f>VLOOKUP("Banda Secundaria",$Q$86:$AE$102,11,FALSE)</f>
        <v>0.65</v>
      </c>
      <c r="M85" s="131">
        <f>VLOOKUP("Banda Secundaria",$Q$86:$AE$102,12,FALSE)</f>
        <v>0.52</v>
      </c>
      <c r="N85" s="131">
        <f>VLOOKUP("Banda Secundaria",$Q$86:$AE$102,13,FALSE)</f>
        <v>0.69</v>
      </c>
      <c r="O85" s="131">
        <f>VLOOKUP("Banda Secundaria",$Q$86:$AE$102,14,FALSE)</f>
        <v>0.65</v>
      </c>
      <c r="P85" s="126"/>
      <c r="Q85" s="109" t="s">
        <v>105</v>
      </c>
      <c r="R85" s="131">
        <v>19666744.267000001</v>
      </c>
      <c r="S85" s="131">
        <v>20177973.197999999</v>
      </c>
      <c r="T85" s="131">
        <v>22171581.583999999</v>
      </c>
      <c r="U85" s="131">
        <v>21376612.877</v>
      </c>
      <c r="V85" s="131">
        <v>20759170.714000002</v>
      </c>
      <c r="W85" s="131">
        <v>19754261.691</v>
      </c>
      <c r="X85" s="131">
        <v>20548101.438000001</v>
      </c>
      <c r="Y85" s="131">
        <v>21280186.475000001</v>
      </c>
      <c r="Z85" s="131">
        <v>23050157.873</v>
      </c>
      <c r="AA85" s="131">
        <v>19924788.991999999</v>
      </c>
      <c r="AB85" s="131">
        <v>21040842.763</v>
      </c>
      <c r="AC85" s="131">
        <v>18901103.403999999</v>
      </c>
      <c r="AD85" s="131">
        <v>20151545.136</v>
      </c>
      <c r="AE85" s="133"/>
      <c r="AF85" s="126"/>
    </row>
    <row r="86" spans="2:32">
      <c r="B86" s="109" t="s">
        <v>58</v>
      </c>
      <c r="C86" s="131">
        <f>VLOOKUP("Coste desvíos",$Q$86:$AE$102,2,FALSE)+VLOOKUP("Saldo PO 14.6",$Q$86:$AE$102,2,FALSE)</f>
        <v>0.15</v>
      </c>
      <c r="D86" s="131">
        <f>VLOOKUP("Coste desvíos",$Q$86:$AE$102,3,FALSE)+VLOOKUP("Saldo PO 14.6",$Q$86:$AE$102,3,FALSE)</f>
        <v>0.17</v>
      </c>
      <c r="E86" s="131">
        <f>VLOOKUP("Coste desvíos",$Q$86:$AE$102,4,FALSE)+VLOOKUP("Saldo PO 14.6",$Q$86:$AE$102,4,FALSE)</f>
        <v>0.11</v>
      </c>
      <c r="F86" s="131">
        <f>VLOOKUP("Coste desvíos",$Q$86:$AE$102,5,FALSE)+VLOOKUP("Saldo PO 14.6",$Q$86:$AE$102,5,FALSE)</f>
        <v>0.12</v>
      </c>
      <c r="G86" s="131">
        <f>VLOOKUP("Coste desvíos",$Q$86:$AE$102,6,FALSE)+VLOOKUP("Saldo PO 14.6",$Q$86:$AE$102,6,FALSE)</f>
        <v>0.18</v>
      </c>
      <c r="H86" s="131">
        <f>VLOOKUP("Coste desvíos",$Q$86:$AE$102,7,FALSE)+VLOOKUP("Saldo PO 14.6",$Q$86:$AE$102,7,FALSE)</f>
        <v>0.13</v>
      </c>
      <c r="I86" s="131">
        <f>VLOOKUP("Coste desvíos",$Q$86:$AE$102,8,FALSE)+VLOOKUP("Saldo PO 14.6",$Q$86:$AE$102,8,FALSE)</f>
        <v>0.24000000000000002</v>
      </c>
      <c r="J86" s="131">
        <f>VLOOKUP("Coste desvíos",$Q$86:$AE$102,9,FALSE)+VLOOKUP("Saldo PO 14.6",$Q$86:$AE$102,9,FALSE)</f>
        <v>0.26</v>
      </c>
      <c r="K86" s="131">
        <f>VLOOKUP("Coste desvíos",$Q$86:$AE$102,10,FALSE)+VLOOKUP("Saldo PO 14.6",$Q$86:$AE$102,10,FALSE)</f>
        <v>0.32999999999999996</v>
      </c>
      <c r="L86" s="131">
        <f>VLOOKUP("Coste desvíos",$Q$86:$AE$102,11,FALSE)+VLOOKUP("Saldo PO 14.6",$Q$86:$AE$102,11,FALSE)</f>
        <v>0.31</v>
      </c>
      <c r="M86" s="131">
        <f>VLOOKUP("Coste desvíos",$Q$86:$AE$102,12,FALSE)+VLOOKUP("Saldo PO 14.6",$Q$86:$AE$102,12,FALSE)</f>
        <v>0.3</v>
      </c>
      <c r="N86" s="131">
        <f>VLOOKUP("Coste desvíos",$Q$86:$AE$102,13,FALSE)+VLOOKUP("Saldo PO 14.6",$Q$86:$AE$102,13,FALSE)</f>
        <v>0.21</v>
      </c>
      <c r="O86" s="131">
        <f>VLOOKUP("Coste desvíos",$Q$86:$AE$102,14,FALSE)+VLOOKUP("Saldo PO 14.6",$Q$86:$AE$102,14,FALSE)</f>
        <v>9.9999999999999992E-2</v>
      </c>
      <c r="P86" s="126"/>
      <c r="Q86" s="109" t="s">
        <v>106</v>
      </c>
      <c r="R86" s="131">
        <v>100</v>
      </c>
      <c r="S86" s="131">
        <v>100</v>
      </c>
      <c r="T86" s="131">
        <v>100</v>
      </c>
      <c r="U86" s="131">
        <v>100</v>
      </c>
      <c r="V86" s="131">
        <v>100</v>
      </c>
      <c r="W86" s="131">
        <v>100</v>
      </c>
      <c r="X86" s="131">
        <v>100</v>
      </c>
      <c r="Y86" s="131">
        <v>100</v>
      </c>
      <c r="Z86" s="131">
        <v>100</v>
      </c>
      <c r="AA86" s="131">
        <v>100</v>
      </c>
      <c r="AB86" s="131">
        <v>100</v>
      </c>
      <c r="AC86" s="131">
        <v>100</v>
      </c>
      <c r="AD86" s="131">
        <v>100</v>
      </c>
      <c r="AE86" s="134"/>
      <c r="AF86" s="126"/>
    </row>
    <row r="87" spans="2:32">
      <c r="B87" s="109" t="s">
        <v>18</v>
      </c>
      <c r="C87" s="131">
        <f>VLOOKUP("Saldo desvíos",$Q$86:$AE$102,2,FALSE)+VLOOKUP("Incumplimiento energía balance",$Q$86:$AE$102,2,FALSE)</f>
        <v>-7.0000000000000007E-2</v>
      </c>
      <c r="D87" s="131">
        <f>VLOOKUP("Saldo desvíos",$Q$86:$AE$102,3,FALSE)+VLOOKUP("Incumplimiento energía balance",$Q$86:$AE$102,3,FALSE)</f>
        <v>-7.0000000000000007E-2</v>
      </c>
      <c r="E87" s="131">
        <f>VLOOKUP("Saldo desvíos",$Q$86:$AE$102,4,FALSE)+VLOOKUP("Incumplimiento energía balance",$Q$86:$AE$102,4,FALSE)</f>
        <v>-0.08</v>
      </c>
      <c r="F87" s="131">
        <f>VLOOKUP("Saldo desvíos",$Q$86:$AE$102,5,FALSE)+VLOOKUP("Incumplimiento energía balance",$Q$86:$AE$102,5,FALSE)</f>
        <v>-7.0000000000000007E-2</v>
      </c>
      <c r="G87" s="131">
        <f>VLOOKUP("Saldo desvíos",$Q$86:$AE$102,6,FALSE)+VLOOKUP("Incumplimiento energía balance",$Q$86:$AE$102,6,FALSE)</f>
        <v>-0.08</v>
      </c>
      <c r="H87" s="131">
        <f>VLOOKUP("Saldo desvíos",$Q$86:$AE$102,7,FALSE)+VLOOKUP("Incumplimiento energía balance",$Q$86:$AE$102,7,FALSE)</f>
        <v>-0.09</v>
      </c>
      <c r="I87" s="131">
        <f>VLOOKUP("Saldo desvíos",$Q$86:$AE$102,8,FALSE)+VLOOKUP("Incumplimiento energía balance",$Q$86:$AE$102,8,FALSE)</f>
        <v>-0.13</v>
      </c>
      <c r="J87" s="131">
        <f>VLOOKUP("Saldo desvíos",$Q$86:$AE$102,9,FALSE)+VLOOKUP("Incumplimiento energía balance",$Q$86:$AE$102,9,FALSE)</f>
        <v>-0.14000000000000001</v>
      </c>
      <c r="K87" s="131">
        <f>VLOOKUP("Saldo desvíos",$Q$86:$AE$102,10,FALSE)+VLOOKUP("Incumplimiento energía balance",$Q$86:$AE$102,10,FALSE)</f>
        <v>-0.15000000000000002</v>
      </c>
      <c r="L87" s="131">
        <f>VLOOKUP("Saldo desvíos",$Q$86:$AE$102,11,FALSE)+VLOOKUP("Incumplimiento energía balance",$Q$86:$AE$102,11,FALSE)</f>
        <v>-0.12</v>
      </c>
      <c r="M87" s="131">
        <f>VLOOKUP("Saldo desvíos",$Q$86:$AE$102,12,FALSE)+VLOOKUP("Incumplimiento energía balance",$Q$86:$AE$102,12,FALSE)</f>
        <v>-0.06</v>
      </c>
      <c r="N87" s="131">
        <f>VLOOKUP("Saldo desvíos",$Q$86:$AE$102,13,FALSE)+VLOOKUP("Incumplimiento energía balance",$Q$86:$AE$102,13,FALSE)</f>
        <v>-7.0000000000000007E-2</v>
      </c>
      <c r="O87" s="131">
        <f>VLOOKUP("Saldo desvíos",$Q$86:$AE$102,14,FALSE)+VLOOKUP("Incumplimiento energía balance",$Q$86:$AE$102,14,FALSE)</f>
        <v>-0.06</v>
      </c>
      <c r="P87" s="126"/>
      <c r="Q87" s="109" t="s">
        <v>107</v>
      </c>
      <c r="R87" s="131">
        <v>26.74</v>
      </c>
      <c r="S87" s="131">
        <v>39.29</v>
      </c>
      <c r="T87" s="131">
        <v>41.07</v>
      </c>
      <c r="U87" s="131">
        <v>41.63</v>
      </c>
      <c r="V87" s="131">
        <v>44.17</v>
      </c>
      <c r="W87" s="131">
        <v>53.79</v>
      </c>
      <c r="X87" s="131">
        <v>57.4</v>
      </c>
      <c r="Y87" s="131">
        <v>61.86</v>
      </c>
      <c r="Z87" s="131">
        <v>73.55</v>
      </c>
      <c r="AA87" s="131">
        <v>53.04</v>
      </c>
      <c r="AB87" s="131">
        <v>43.93</v>
      </c>
      <c r="AC87" s="131">
        <v>44.2</v>
      </c>
      <c r="AD87" s="131">
        <v>47.6</v>
      </c>
      <c r="AE87" s="134"/>
      <c r="AF87" s="126"/>
    </row>
    <row r="88" spans="2:32">
      <c r="B88" s="111" t="s">
        <v>25</v>
      </c>
      <c r="C88" s="135">
        <f>VLOOKUP("Control del factor de potencia",$Q$86:$AE$102,2,FALSE)</f>
        <v>-7.0000000000000007E-2</v>
      </c>
      <c r="D88" s="135">
        <f>VLOOKUP("Control del factor de potencia",$Q$86:$AE$102,3,FALSE)</f>
        <v>-0.05</v>
      </c>
      <c r="E88" s="135">
        <f>VLOOKUP("Control del factor de potencia",$Q$86:$AE$102,4,FALSE)</f>
        <v>-0.05</v>
      </c>
      <c r="F88" s="135">
        <f>VLOOKUP("Control del factor de potencia",$Q$86:$AE$102,5,FALSE)</f>
        <v>-0.05</v>
      </c>
      <c r="G88" s="135">
        <f>VLOOKUP("Control del factor de potencia",$Q$86:$AE$102,6,FALSE)</f>
        <v>-0.05</v>
      </c>
      <c r="H88" s="135">
        <f>VLOOKUP("Control del factor de potencia",$Q$86:$AE$102,7,FALSE)</f>
        <v>-0.05</v>
      </c>
      <c r="I88" s="135">
        <f>VLOOKUP("Control del factor de potencia",$Q$86:$AE$102,8,FALSE)</f>
        <v>-0.06</v>
      </c>
      <c r="J88" s="135">
        <f>VLOOKUP("Control del factor de potencia",$Q$86:$AE$102,9,FALSE)</f>
        <v>0</v>
      </c>
      <c r="K88" s="135">
        <f>VLOOKUP("Control del factor de potencia",$Q$86:$AE$102,10,FALSE)</f>
        <v>-7.0000000000000007E-2</v>
      </c>
      <c r="L88" s="135">
        <f>VLOOKUP("Control del factor de potencia",$Q$86:$AE$102,11,FALSE)</f>
        <v>-7.0000000000000007E-2</v>
      </c>
      <c r="M88" s="135">
        <f>VLOOKUP("Control del factor de potencia",$Q$86:$AE$102,12,FALSE)</f>
        <v>0</v>
      </c>
      <c r="N88" s="135">
        <f>VLOOKUP("Control del factor de potencia",$Q$86:$AE$102,13,FALSE)</f>
        <v>-0.06</v>
      </c>
      <c r="O88" s="135">
        <f>VLOOKUP("Control del factor de potencia",$Q$86:$AE$102,14,FALSE)</f>
        <v>-0.05</v>
      </c>
      <c r="P88" s="126"/>
      <c r="Q88" s="109" t="s">
        <v>108</v>
      </c>
      <c r="R88" s="131">
        <v>2.99</v>
      </c>
      <c r="S88" s="131">
        <v>1.84</v>
      </c>
      <c r="T88" s="131">
        <v>1.55</v>
      </c>
      <c r="U88" s="131">
        <v>1.85</v>
      </c>
      <c r="V88" s="131">
        <v>1.91</v>
      </c>
      <c r="W88" s="131">
        <v>2.04</v>
      </c>
      <c r="X88" s="131">
        <v>0.89</v>
      </c>
      <c r="Y88" s="131">
        <v>1.1299999999999999</v>
      </c>
      <c r="Z88" s="131">
        <v>1.48</v>
      </c>
      <c r="AA88" s="131">
        <v>1.82</v>
      </c>
      <c r="AB88" s="131">
        <v>2.2200000000000002</v>
      </c>
      <c r="AC88" s="131">
        <v>2.4</v>
      </c>
      <c r="AD88" s="131">
        <v>1.45</v>
      </c>
      <c r="AE88" s="134"/>
      <c r="AF88" s="126"/>
    </row>
    <row r="89" spans="2:32">
      <c r="B89" s="126"/>
      <c r="C89" s="183">
        <f t="shared" ref="C89:O89" si="3">SUM(C82:C88)</f>
        <v>4.3599999999999994</v>
      </c>
      <c r="D89" s="183">
        <f t="shared" si="3"/>
        <v>2.5100000000000002</v>
      </c>
      <c r="E89" s="183">
        <f t="shared" si="3"/>
        <v>2.0299999999999998</v>
      </c>
      <c r="F89" s="183">
        <f t="shared" si="3"/>
        <v>2.4000000000000008</v>
      </c>
      <c r="G89" s="183">
        <f t="shared" si="3"/>
        <v>2.4600000000000004</v>
      </c>
      <c r="H89" s="183">
        <f t="shared" si="3"/>
        <v>3</v>
      </c>
      <c r="I89" s="183">
        <f t="shared" si="3"/>
        <v>1.9300000000000002</v>
      </c>
      <c r="J89" s="183">
        <f t="shared" si="3"/>
        <v>2.0899999999999994</v>
      </c>
      <c r="K89" s="183">
        <f t="shared" si="3"/>
        <v>2.9000000000000004</v>
      </c>
      <c r="L89" s="183">
        <f t="shared" si="3"/>
        <v>2.8400000000000003</v>
      </c>
      <c r="M89" s="183">
        <f t="shared" si="3"/>
        <v>3.19</v>
      </c>
      <c r="N89" s="183">
        <f t="shared" si="3"/>
        <v>3.2699999999999996</v>
      </c>
      <c r="O89" s="183">
        <f t="shared" si="3"/>
        <v>2.12</v>
      </c>
      <c r="P89" s="126"/>
      <c r="Q89" s="109" t="s">
        <v>109</v>
      </c>
      <c r="R89" s="131">
        <v>0.13</v>
      </c>
      <c r="S89" s="131">
        <v>0.1</v>
      </c>
      <c r="T89" s="131">
        <v>0.03</v>
      </c>
      <c r="U89" s="131">
        <v>7.0000000000000007E-2</v>
      </c>
      <c r="V89" s="131">
        <v>0.09</v>
      </c>
      <c r="W89" s="131">
        <v>0.21</v>
      </c>
      <c r="X89" s="131">
        <v>0.16</v>
      </c>
      <c r="Y89" s="131">
        <v>0.13</v>
      </c>
      <c r="Z89" s="131">
        <v>0.17</v>
      </c>
      <c r="AA89" s="131">
        <v>0.23</v>
      </c>
      <c r="AB89" s="131">
        <v>0.14000000000000001</v>
      </c>
      <c r="AC89" s="131">
        <v>0.09</v>
      </c>
      <c r="AD89" s="131">
        <v>0.03</v>
      </c>
      <c r="AE89" s="134"/>
      <c r="AF89" s="126"/>
    </row>
    <row r="90" spans="2:32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09" t="s">
        <v>110</v>
      </c>
      <c r="R90" s="131">
        <v>0</v>
      </c>
      <c r="S90" s="131">
        <v>0.01</v>
      </c>
      <c r="T90" s="131">
        <v>-0.01</v>
      </c>
      <c r="U90" s="131">
        <v>-0.01</v>
      </c>
      <c r="V90" s="131">
        <v>0</v>
      </c>
      <c r="W90" s="131">
        <v>-0.01</v>
      </c>
      <c r="X90" s="131">
        <v>0.01</v>
      </c>
      <c r="Y90" s="131">
        <v>0.01</v>
      </c>
      <c r="Z90" s="131">
        <v>0.03</v>
      </c>
      <c r="AA90" s="131">
        <v>0.01</v>
      </c>
      <c r="AB90" s="131">
        <v>0.01</v>
      </c>
      <c r="AC90" s="131">
        <v>0</v>
      </c>
      <c r="AD90" s="131">
        <v>0</v>
      </c>
      <c r="AE90" s="134"/>
      <c r="AF90" s="126"/>
    </row>
    <row r="91" spans="2:32">
      <c r="B91" s="12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09" t="s">
        <v>83</v>
      </c>
      <c r="N91" s="109"/>
      <c r="O91" s="174">
        <f>(O89-C89)/C89</f>
        <v>-0.51376146788990817</v>
      </c>
      <c r="P91" s="126"/>
      <c r="Q91" s="109" t="s">
        <v>111</v>
      </c>
      <c r="R91" s="131">
        <v>0</v>
      </c>
      <c r="S91" s="131">
        <v>0</v>
      </c>
      <c r="T91" s="131">
        <v>0</v>
      </c>
      <c r="U91" s="131">
        <v>0</v>
      </c>
      <c r="V91" s="131">
        <v>0</v>
      </c>
      <c r="W91" s="131">
        <v>0</v>
      </c>
      <c r="X91" s="131">
        <v>0</v>
      </c>
      <c r="Y91" s="131">
        <v>0</v>
      </c>
      <c r="Z91" s="131">
        <v>0</v>
      </c>
      <c r="AA91" s="131">
        <v>0</v>
      </c>
      <c r="AB91" s="131">
        <v>0</v>
      </c>
      <c r="AC91" s="131">
        <v>0</v>
      </c>
      <c r="AD91" s="131">
        <v>0</v>
      </c>
      <c r="AE91" s="134"/>
      <c r="AF91" s="126"/>
    </row>
    <row r="92" spans="2:32">
      <c r="B92" s="12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09" t="s">
        <v>84</v>
      </c>
      <c r="N92" s="109"/>
      <c r="O92" s="116"/>
      <c r="P92" s="126"/>
      <c r="Q92" s="109" t="s">
        <v>112</v>
      </c>
      <c r="R92" s="131">
        <v>0.3</v>
      </c>
      <c r="S92" s="131">
        <v>0</v>
      </c>
      <c r="T92" s="131">
        <v>0</v>
      </c>
      <c r="U92" s="131">
        <v>0</v>
      </c>
      <c r="V92" s="131">
        <v>0.02</v>
      </c>
      <c r="W92" s="131">
        <v>0.25</v>
      </c>
      <c r="X92" s="131">
        <v>0.15</v>
      </c>
      <c r="Y92" s="131">
        <v>0.08</v>
      </c>
      <c r="Z92" s="131">
        <v>0.27</v>
      </c>
      <c r="AA92" s="131">
        <v>0.02</v>
      </c>
      <c r="AB92" s="131">
        <v>7.0000000000000007E-2</v>
      </c>
      <c r="AC92" s="131">
        <v>0.01</v>
      </c>
      <c r="AD92" s="131">
        <v>0</v>
      </c>
      <c r="AE92" s="134"/>
      <c r="AF92" s="126"/>
    </row>
    <row r="93" spans="2:32">
      <c r="B93" s="126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26"/>
      <c r="Q93" s="109" t="s">
        <v>113</v>
      </c>
      <c r="R93" s="131">
        <v>0.93</v>
      </c>
      <c r="S93" s="131">
        <v>0.52</v>
      </c>
      <c r="T93" s="131">
        <v>0.47</v>
      </c>
      <c r="U93" s="131">
        <v>0.48</v>
      </c>
      <c r="V93" s="131">
        <v>0.39</v>
      </c>
      <c r="W93" s="131">
        <v>0.51</v>
      </c>
      <c r="X93" s="131">
        <v>0.68</v>
      </c>
      <c r="Y93" s="131">
        <v>0.63</v>
      </c>
      <c r="Z93" s="131">
        <v>0.87</v>
      </c>
      <c r="AA93" s="131">
        <v>0.65</v>
      </c>
      <c r="AB93" s="131">
        <v>0.52</v>
      </c>
      <c r="AC93" s="131">
        <v>0.69</v>
      </c>
      <c r="AD93" s="131">
        <v>0.65</v>
      </c>
      <c r="AE93" s="134"/>
      <c r="AF93" s="126"/>
    </row>
    <row r="94" spans="2:32">
      <c r="B94" s="12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26"/>
      <c r="Q94" s="109" t="s">
        <v>114</v>
      </c>
      <c r="R94" s="131">
        <v>-0.02</v>
      </c>
      <c r="S94" s="131">
        <v>-0.02</v>
      </c>
      <c r="T94" s="131">
        <v>-0.02</v>
      </c>
      <c r="U94" s="131">
        <v>-0.02</v>
      </c>
      <c r="V94" s="131">
        <v>-0.03</v>
      </c>
      <c r="W94" s="131">
        <v>-0.03</v>
      </c>
      <c r="X94" s="131">
        <v>-0.05</v>
      </c>
      <c r="Y94" s="131">
        <v>-0.04</v>
      </c>
      <c r="Z94" s="131">
        <v>-0.05</v>
      </c>
      <c r="AA94" s="131">
        <v>-0.03</v>
      </c>
      <c r="AB94" s="131">
        <v>-0.03</v>
      </c>
      <c r="AC94" s="131">
        <v>-0.02</v>
      </c>
      <c r="AD94" s="131">
        <v>-0.02</v>
      </c>
      <c r="AE94" s="134"/>
      <c r="AF94" s="126"/>
    </row>
    <row r="95" spans="2:32"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8"/>
      <c r="Q95" s="109" t="s">
        <v>115</v>
      </c>
      <c r="R95" s="131">
        <v>0.15</v>
      </c>
      <c r="S95" s="131">
        <v>0.14000000000000001</v>
      </c>
      <c r="T95" s="131">
        <v>0.12</v>
      </c>
      <c r="U95" s="131">
        <v>0.11</v>
      </c>
      <c r="V95" s="131">
        <v>0.19</v>
      </c>
      <c r="W95" s="131">
        <v>0.14000000000000001</v>
      </c>
      <c r="X95" s="131">
        <v>0.23</v>
      </c>
      <c r="Y95" s="131">
        <v>0.26</v>
      </c>
      <c r="Z95" s="131">
        <v>0.3</v>
      </c>
      <c r="AA95" s="131">
        <v>0.31</v>
      </c>
      <c r="AB95" s="131">
        <v>0.3</v>
      </c>
      <c r="AC95" s="131">
        <v>0.19</v>
      </c>
      <c r="AD95" s="131">
        <v>0.09</v>
      </c>
      <c r="AE95" s="134"/>
      <c r="AF95" s="126"/>
    </row>
    <row r="96" spans="2:32"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09" t="s">
        <v>116</v>
      </c>
      <c r="R96" s="131">
        <v>-0.05</v>
      </c>
      <c r="S96" s="131">
        <v>-0.05</v>
      </c>
      <c r="T96" s="131">
        <v>-0.06</v>
      </c>
      <c r="U96" s="131">
        <v>-0.05</v>
      </c>
      <c r="V96" s="131">
        <v>-0.05</v>
      </c>
      <c r="W96" s="131">
        <v>-0.06</v>
      </c>
      <c r="X96" s="131">
        <v>-0.08</v>
      </c>
      <c r="Y96" s="131">
        <v>-0.1</v>
      </c>
      <c r="Z96" s="131">
        <v>-0.1</v>
      </c>
      <c r="AA96" s="131">
        <v>-0.09</v>
      </c>
      <c r="AB96" s="131">
        <v>-0.03</v>
      </c>
      <c r="AC96" s="131">
        <v>-0.05</v>
      </c>
      <c r="AD96" s="131">
        <v>-0.04</v>
      </c>
      <c r="AE96" s="134"/>
      <c r="AF96" s="126"/>
    </row>
    <row r="97" spans="2:32"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09" t="s">
        <v>25</v>
      </c>
      <c r="R97" s="131">
        <v>-7.0000000000000007E-2</v>
      </c>
      <c r="S97" s="131">
        <v>-0.05</v>
      </c>
      <c r="T97" s="131">
        <v>-0.05</v>
      </c>
      <c r="U97" s="131">
        <v>-0.05</v>
      </c>
      <c r="V97" s="131">
        <v>-0.05</v>
      </c>
      <c r="W97" s="131">
        <v>-0.05</v>
      </c>
      <c r="X97" s="131">
        <v>-0.06</v>
      </c>
      <c r="Y97" s="131">
        <v>0</v>
      </c>
      <c r="Z97" s="131">
        <v>-7.0000000000000007E-2</v>
      </c>
      <c r="AA97" s="131">
        <v>-7.0000000000000007E-2</v>
      </c>
      <c r="AB97" s="131">
        <v>0</v>
      </c>
      <c r="AC97" s="131">
        <v>-0.06</v>
      </c>
      <c r="AD97" s="131">
        <v>-0.05</v>
      </c>
      <c r="AE97" s="134"/>
      <c r="AF97" s="126"/>
    </row>
    <row r="98" spans="2:32">
      <c r="Q98" s="109" t="s">
        <v>117</v>
      </c>
      <c r="R98" s="131">
        <v>2.4300000000000002</v>
      </c>
      <c r="S98" s="131">
        <v>2.89</v>
      </c>
      <c r="T98" s="131">
        <v>3.27</v>
      </c>
      <c r="U98" s="131">
        <v>2.2200000000000002</v>
      </c>
      <c r="V98" s="131">
        <v>2.54</v>
      </c>
      <c r="W98" s="131">
        <v>2.37</v>
      </c>
      <c r="X98" s="131">
        <v>2.5499999999999998</v>
      </c>
      <c r="Y98" s="131">
        <v>3.16</v>
      </c>
      <c r="Z98" s="131">
        <v>3.25</v>
      </c>
      <c r="AA98" s="131">
        <v>3.26</v>
      </c>
      <c r="AB98" s="131">
        <v>2.63</v>
      </c>
      <c r="AC98" s="131">
        <v>2.4500000000000002</v>
      </c>
      <c r="AD98" s="131">
        <v>2.4300000000000002</v>
      </c>
      <c r="AE98" s="134"/>
    </row>
    <row r="99" spans="2:32">
      <c r="Q99" s="109" t="s">
        <v>40</v>
      </c>
      <c r="R99" s="131">
        <v>2.0299999999999998</v>
      </c>
      <c r="S99" s="131">
        <v>2</v>
      </c>
      <c r="T99" s="131">
        <v>1.82</v>
      </c>
      <c r="U99" s="131">
        <v>1.88</v>
      </c>
      <c r="V99" s="131">
        <v>1.94</v>
      </c>
      <c r="W99" s="131">
        <v>2.04</v>
      </c>
      <c r="X99" s="131">
        <v>1.95</v>
      </c>
      <c r="Y99" s="131">
        <v>1.88</v>
      </c>
      <c r="Z99" s="131">
        <v>1.89</v>
      </c>
      <c r="AA99" s="131">
        <v>2.19</v>
      </c>
      <c r="AB99" s="131">
        <v>2.0699999999999998</v>
      </c>
      <c r="AC99" s="131">
        <v>2.31</v>
      </c>
      <c r="AD99" s="131">
        <v>2.17</v>
      </c>
      <c r="AE99" s="134"/>
    </row>
    <row r="100" spans="2:32">
      <c r="Q100" s="109" t="s">
        <v>118</v>
      </c>
      <c r="R100" s="131">
        <v>0</v>
      </c>
      <c r="S100" s="131">
        <v>0.03</v>
      </c>
      <c r="T100" s="131">
        <v>-0.01</v>
      </c>
      <c r="U100" s="131">
        <v>0.01</v>
      </c>
      <c r="V100" s="131">
        <v>-0.01</v>
      </c>
      <c r="W100" s="131">
        <v>-0.01</v>
      </c>
      <c r="X100" s="131">
        <v>0.01</v>
      </c>
      <c r="Y100" s="131">
        <v>0</v>
      </c>
      <c r="Z100" s="131">
        <v>0.03</v>
      </c>
      <c r="AA100" s="131">
        <v>0</v>
      </c>
      <c r="AB100" s="131">
        <v>0</v>
      </c>
      <c r="AC100" s="131">
        <v>0.02</v>
      </c>
      <c r="AD100" s="131">
        <v>0.01</v>
      </c>
      <c r="AE100" s="134"/>
    </row>
    <row r="101" spans="2:32">
      <c r="Q101" s="109" t="s">
        <v>119</v>
      </c>
      <c r="R101" s="131">
        <v>0</v>
      </c>
      <c r="S101" s="131">
        <v>0</v>
      </c>
      <c r="T101" s="131">
        <v>0</v>
      </c>
      <c r="U101" s="131">
        <v>0</v>
      </c>
      <c r="V101" s="131">
        <v>0</v>
      </c>
      <c r="W101" s="131">
        <v>0</v>
      </c>
      <c r="X101" s="131">
        <v>0</v>
      </c>
      <c r="Y101" s="131">
        <v>0</v>
      </c>
      <c r="Z101" s="131">
        <v>0</v>
      </c>
      <c r="AA101" s="131">
        <v>0</v>
      </c>
      <c r="AB101" s="131">
        <v>0</v>
      </c>
      <c r="AC101" s="131">
        <v>0</v>
      </c>
      <c r="AD101" s="131">
        <v>0</v>
      </c>
      <c r="AE101" s="134"/>
    </row>
    <row r="102" spans="2:32">
      <c r="Q102" s="109" t="s">
        <v>120</v>
      </c>
      <c r="R102" s="131">
        <v>35.56</v>
      </c>
      <c r="S102" s="131">
        <v>46.7</v>
      </c>
      <c r="T102" s="131">
        <v>48.18</v>
      </c>
      <c r="U102" s="131">
        <v>48.12</v>
      </c>
      <c r="V102" s="131">
        <v>51.11</v>
      </c>
      <c r="W102" s="131">
        <v>61.19</v>
      </c>
      <c r="X102" s="131">
        <v>63.84</v>
      </c>
      <c r="Y102" s="131">
        <v>69</v>
      </c>
      <c r="Z102" s="131">
        <v>81.62</v>
      </c>
      <c r="AA102" s="131">
        <v>61.34</v>
      </c>
      <c r="AB102" s="131">
        <v>51.83</v>
      </c>
      <c r="AC102" s="131">
        <v>52.23</v>
      </c>
      <c r="AD102" s="131">
        <v>54.32</v>
      </c>
    </row>
    <row r="104" spans="2:32">
      <c r="B104" s="106" t="s">
        <v>137</v>
      </c>
      <c r="C104" s="106"/>
      <c r="D104" s="106"/>
      <c r="E104" s="106"/>
      <c r="F104" s="106"/>
      <c r="G104" s="106"/>
      <c r="H104" s="106"/>
      <c r="I104" s="128"/>
    </row>
    <row r="105" spans="2:32">
      <c r="B105" s="108" t="s">
        <v>121</v>
      </c>
      <c r="C105" s="108" t="s">
        <v>219</v>
      </c>
      <c r="D105" s="108" t="s">
        <v>219</v>
      </c>
      <c r="E105" s="108"/>
      <c r="F105" s="108" t="s">
        <v>121</v>
      </c>
      <c r="G105" s="108" t="s">
        <v>208</v>
      </c>
      <c r="H105" s="108" t="s">
        <v>208</v>
      </c>
      <c r="I105" s="109"/>
    </row>
    <row r="106" spans="2:32">
      <c r="B106" s="108" t="s">
        <v>32</v>
      </c>
      <c r="C106" s="108" t="s">
        <v>122</v>
      </c>
      <c r="D106" s="108" t="s">
        <v>123</v>
      </c>
      <c r="E106" s="108"/>
      <c r="F106" s="108" t="s">
        <v>32</v>
      </c>
      <c r="G106" s="108" t="s">
        <v>122</v>
      </c>
      <c r="H106" s="108" t="s">
        <v>123</v>
      </c>
      <c r="I106" s="109"/>
    </row>
    <row r="107" spans="2:32">
      <c r="B107" s="109" t="s">
        <v>220</v>
      </c>
      <c r="C107" s="131"/>
      <c r="D107" s="131"/>
      <c r="E107" s="131"/>
      <c r="F107" s="109" t="s">
        <v>220</v>
      </c>
      <c r="G107" s="109"/>
      <c r="H107" s="109"/>
      <c r="I107" s="109"/>
    </row>
    <row r="108" spans="2:32">
      <c r="B108" s="109" t="s">
        <v>221</v>
      </c>
      <c r="C108" s="131">
        <v>29225780.969999999</v>
      </c>
      <c r="D108" s="131">
        <v>-29225780.969999999</v>
      </c>
      <c r="E108" s="131"/>
      <c r="F108" s="109" t="s">
        <v>221</v>
      </c>
      <c r="G108" s="131">
        <v>58753432.159999996</v>
      </c>
      <c r="H108" s="131">
        <v>-58753432.159999996</v>
      </c>
      <c r="I108" s="131"/>
    </row>
    <row r="109" spans="2:32">
      <c r="B109" s="109" t="s">
        <v>222</v>
      </c>
      <c r="C109" s="131">
        <v>9000</v>
      </c>
      <c r="D109" s="131">
        <v>-9000</v>
      </c>
      <c r="E109" s="131"/>
      <c r="F109" s="109" t="s">
        <v>222</v>
      </c>
      <c r="G109" s="131">
        <v>6080825.9400000004</v>
      </c>
      <c r="H109" s="131">
        <v>-6080825.9400000004</v>
      </c>
      <c r="I109" s="131"/>
    </row>
    <row r="110" spans="2:32">
      <c r="B110" s="109" t="s">
        <v>223</v>
      </c>
      <c r="C110" s="131">
        <v>13018145.369999999</v>
      </c>
      <c r="D110" s="131">
        <v>-13018145.369999999</v>
      </c>
      <c r="E110" s="131"/>
      <c r="F110" s="109" t="s">
        <v>223</v>
      </c>
      <c r="G110" s="131">
        <v>18201297.210000001</v>
      </c>
      <c r="H110" s="131">
        <v>-18201297.210000001</v>
      </c>
      <c r="I110" s="131"/>
    </row>
    <row r="111" spans="2:32">
      <c r="B111" s="109" t="s">
        <v>224</v>
      </c>
      <c r="C111" s="131">
        <v>729025.8</v>
      </c>
      <c r="D111" s="131">
        <v>-690775.35</v>
      </c>
      <c r="E111" s="131"/>
      <c r="F111" s="109" t="s">
        <v>224</v>
      </c>
      <c r="G111" s="131">
        <v>2565322.54</v>
      </c>
      <c r="H111" s="131">
        <v>-2557781.0299999998</v>
      </c>
      <c r="I111" s="131"/>
    </row>
    <row r="112" spans="2:32">
      <c r="B112" s="109" t="s">
        <v>225</v>
      </c>
      <c r="C112" s="131" t="s">
        <v>193</v>
      </c>
      <c r="D112" s="131">
        <v>37975.33</v>
      </c>
      <c r="E112" s="131"/>
      <c r="F112" s="109" t="s">
        <v>225</v>
      </c>
      <c r="G112" s="131" t="s">
        <v>193</v>
      </c>
      <c r="H112" s="131">
        <v>719.94</v>
      </c>
      <c r="I112" s="131"/>
    </row>
    <row r="113" spans="2:9">
      <c r="B113" s="109" t="s">
        <v>89</v>
      </c>
      <c r="C113" s="131">
        <v>902653.43999999994</v>
      </c>
      <c r="D113" s="131">
        <v>1266554.7</v>
      </c>
      <c r="E113" s="131"/>
      <c r="F113" s="109" t="s">
        <v>89</v>
      </c>
      <c r="G113" s="131">
        <v>261597.75</v>
      </c>
      <c r="H113" s="131">
        <v>1842288.86</v>
      </c>
      <c r="I113" s="131"/>
    </row>
    <row r="114" spans="2:9">
      <c r="B114" s="109" t="s">
        <v>3</v>
      </c>
      <c r="C114" s="131">
        <v>2960031.99</v>
      </c>
      <c r="D114" s="131">
        <v>9025132.3100000005</v>
      </c>
      <c r="E114" s="131"/>
      <c r="F114" s="109" t="s">
        <v>3</v>
      </c>
      <c r="G114" s="131">
        <v>682508.44</v>
      </c>
      <c r="H114" s="131">
        <v>7845190.7400000002</v>
      </c>
      <c r="I114" s="131"/>
    </row>
    <row r="115" spans="2:9">
      <c r="B115" s="109" t="s">
        <v>226</v>
      </c>
      <c r="C115" s="131">
        <v>438942.17</v>
      </c>
      <c r="D115" s="131">
        <v>-438942.17</v>
      </c>
      <c r="E115" s="131"/>
      <c r="F115" s="109" t="s">
        <v>226</v>
      </c>
      <c r="G115" s="131">
        <v>310565.12</v>
      </c>
      <c r="H115" s="131">
        <v>-310565.12</v>
      </c>
      <c r="I115" s="131"/>
    </row>
    <row r="116" spans="2:9">
      <c r="B116" s="109" t="s">
        <v>138</v>
      </c>
      <c r="C116" s="131">
        <v>2677430.54</v>
      </c>
      <c r="D116" s="131">
        <v>3647085.3</v>
      </c>
      <c r="E116" s="131"/>
      <c r="F116" s="109" t="s">
        <v>138</v>
      </c>
      <c r="G116" s="131">
        <v>910717.14</v>
      </c>
      <c r="H116" s="131">
        <v>5462149.21</v>
      </c>
      <c r="I116" s="131"/>
    </row>
    <row r="117" spans="2:9">
      <c r="B117" s="109" t="s">
        <v>227</v>
      </c>
      <c r="C117" s="131">
        <v>2113803.5</v>
      </c>
      <c r="D117" s="131">
        <v>-1972611.5</v>
      </c>
      <c r="E117" s="131"/>
      <c r="F117" s="109" t="s">
        <v>227</v>
      </c>
      <c r="G117" s="131">
        <v>872853</v>
      </c>
      <c r="H117" s="131">
        <v>-614871</v>
      </c>
      <c r="I117" s="131"/>
    </row>
    <row r="118" spans="2:9">
      <c r="B118" s="109" t="s">
        <v>17</v>
      </c>
      <c r="C118" s="131">
        <v>41566143.600000001</v>
      </c>
      <c r="D118" s="131">
        <v>-9460216.8599999994</v>
      </c>
      <c r="E118" s="131"/>
      <c r="F118" s="109" t="s">
        <v>17</v>
      </c>
      <c r="G118" s="131">
        <v>44903606.030000001</v>
      </c>
      <c r="H118" s="131">
        <v>-15208592.09</v>
      </c>
      <c r="I118" s="131"/>
    </row>
    <row r="119" spans="2:9">
      <c r="B119" s="109" t="s">
        <v>228</v>
      </c>
      <c r="C119" s="131">
        <v>2233637.02</v>
      </c>
      <c r="D119" s="131">
        <v>-2233637.02</v>
      </c>
      <c r="E119" s="131"/>
      <c r="F119" s="109" t="s">
        <v>228</v>
      </c>
      <c r="G119" s="131">
        <v>98125.36</v>
      </c>
      <c r="H119" s="131">
        <v>-98125.36</v>
      </c>
      <c r="I119" s="131"/>
    </row>
    <row r="120" spans="2:9">
      <c r="B120" s="109" t="s">
        <v>229</v>
      </c>
      <c r="C120" s="131">
        <v>855056.6</v>
      </c>
      <c r="D120" s="131">
        <v>-219910.05</v>
      </c>
      <c r="E120" s="131"/>
      <c r="F120" s="109" t="s">
        <v>229</v>
      </c>
      <c r="G120" s="131">
        <v>395927.68</v>
      </c>
      <c r="H120" s="131">
        <v>9553.5499999999993</v>
      </c>
      <c r="I120" s="131"/>
    </row>
    <row r="121" spans="2:9">
      <c r="B121" s="109" t="s">
        <v>116</v>
      </c>
      <c r="C121" s="131">
        <v>707707.27</v>
      </c>
      <c r="D121" s="131">
        <v>723231.74</v>
      </c>
      <c r="E121" s="131"/>
      <c r="F121" s="109" t="s">
        <v>116</v>
      </c>
      <c r="G121" s="131">
        <v>1386300.02</v>
      </c>
      <c r="H121" s="131">
        <v>894844.69</v>
      </c>
      <c r="I121" s="131"/>
    </row>
    <row r="122" spans="2:9">
      <c r="B122" s="109" t="s">
        <v>25</v>
      </c>
      <c r="C122" s="131">
        <v>1086548.42</v>
      </c>
      <c r="D122" s="131" t="s">
        <v>193</v>
      </c>
      <c r="E122" s="131"/>
      <c r="F122" s="109" t="s">
        <v>25</v>
      </c>
      <c r="G122" s="131">
        <v>1320932.6399999999</v>
      </c>
      <c r="H122" s="131" t="s">
        <v>193</v>
      </c>
      <c r="I122" s="131"/>
    </row>
    <row r="123" spans="2:9">
      <c r="B123" s="111"/>
      <c r="C123" s="139"/>
      <c r="D123" s="111"/>
      <c r="E123" s="111"/>
      <c r="F123" s="111"/>
      <c r="G123" s="111"/>
      <c r="H123" s="111"/>
      <c r="I123" s="131"/>
    </row>
    <row r="124" spans="2:9">
      <c r="B124" s="109"/>
      <c r="C124" s="131"/>
      <c r="D124" s="131"/>
      <c r="E124" s="131"/>
      <c r="F124" s="109"/>
      <c r="G124" s="131"/>
      <c r="H124" s="131"/>
      <c r="I124" s="131"/>
    </row>
    <row r="125" spans="2:9" ht="12.75" customHeight="1">
      <c r="B125" s="168"/>
      <c r="C125" s="169"/>
      <c r="D125" s="169"/>
      <c r="E125" s="169"/>
      <c r="F125" s="170"/>
      <c r="G125" s="169"/>
      <c r="H125" s="169"/>
      <c r="I125" s="169"/>
    </row>
    <row r="126" spans="2:9">
      <c r="B126" s="140"/>
      <c r="C126" s="140"/>
      <c r="D126" s="140"/>
    </row>
    <row r="127" spans="2:9">
      <c r="B127" s="108"/>
      <c r="C127" s="141">
        <v>2017</v>
      </c>
      <c r="D127" s="141">
        <v>2016</v>
      </c>
    </row>
    <row r="128" spans="2:9">
      <c r="B128" s="108"/>
      <c r="C128" s="108" t="s">
        <v>233</v>
      </c>
      <c r="D128" s="108" t="s">
        <v>233</v>
      </c>
    </row>
    <row r="129" spans="2:16">
      <c r="B129" s="142" t="s">
        <v>231</v>
      </c>
      <c r="C129" s="131">
        <v>1038.6560999999999</v>
      </c>
      <c r="D129" s="131">
        <v>1343.5868</v>
      </c>
    </row>
    <row r="130" spans="2:16">
      <c r="B130" s="142" t="s">
        <v>138</v>
      </c>
      <c r="C130" s="131">
        <v>191.90902500000001</v>
      </c>
      <c r="D130" s="131">
        <v>240.04122100000001</v>
      </c>
    </row>
    <row r="131" spans="2:16">
      <c r="B131" s="142" t="s">
        <v>3</v>
      </c>
      <c r="C131" s="131">
        <v>315.96159999999998</v>
      </c>
      <c r="D131" s="131">
        <v>354.4742</v>
      </c>
    </row>
    <row r="132" spans="2:16">
      <c r="B132" s="142" t="s">
        <v>139</v>
      </c>
      <c r="C132" s="131">
        <v>65.169399999999996</v>
      </c>
      <c r="D132" s="131">
        <v>80.053200000000004</v>
      </c>
    </row>
    <row r="133" spans="2:16">
      <c r="B133" s="143" t="s">
        <v>232</v>
      </c>
      <c r="C133" s="144">
        <v>29.116199999999999</v>
      </c>
      <c r="D133" s="144">
        <v>86.510999999999996</v>
      </c>
    </row>
    <row r="135" spans="2:16">
      <c r="B135" s="106" t="s">
        <v>150</v>
      </c>
    </row>
    <row r="136" spans="2:16">
      <c r="B136" s="141"/>
      <c r="C136" s="141" t="s">
        <v>32</v>
      </c>
      <c r="D136" s="141" t="s">
        <v>124</v>
      </c>
      <c r="E136" s="141" t="s">
        <v>124</v>
      </c>
      <c r="F136" s="141" t="s">
        <v>124</v>
      </c>
      <c r="G136" s="141" t="s">
        <v>124</v>
      </c>
      <c r="H136" s="141" t="s">
        <v>124</v>
      </c>
      <c r="I136" s="141" t="s">
        <v>124</v>
      </c>
      <c r="J136" s="141" t="s">
        <v>124</v>
      </c>
      <c r="K136" s="141" t="s">
        <v>124</v>
      </c>
      <c r="L136" s="141" t="s">
        <v>124</v>
      </c>
      <c r="M136" s="141" t="s">
        <v>124</v>
      </c>
      <c r="N136" s="141" t="s">
        <v>124</v>
      </c>
      <c r="O136" s="141" t="s">
        <v>124</v>
      </c>
      <c r="P136" s="141" t="s">
        <v>124</v>
      </c>
    </row>
    <row r="137" spans="2:16">
      <c r="B137" s="141"/>
      <c r="C137" s="141" t="s">
        <v>121</v>
      </c>
      <c r="D137" s="141" t="s">
        <v>208</v>
      </c>
      <c r="E137" s="141" t="s">
        <v>209</v>
      </c>
      <c r="F137" s="141" t="s">
        <v>210</v>
      </c>
      <c r="G137" s="141" t="s">
        <v>211</v>
      </c>
      <c r="H137" s="141" t="s">
        <v>212</v>
      </c>
      <c r="I137" s="141" t="s">
        <v>213</v>
      </c>
      <c r="J137" s="141" t="s">
        <v>214</v>
      </c>
      <c r="K137" s="141" t="s">
        <v>103</v>
      </c>
      <c r="L137" s="141" t="s">
        <v>215</v>
      </c>
      <c r="M137" s="141" t="s">
        <v>216</v>
      </c>
      <c r="N137" s="141" t="s">
        <v>217</v>
      </c>
      <c r="O137" s="141" t="s">
        <v>218</v>
      </c>
      <c r="P137" s="141" t="s">
        <v>219</v>
      </c>
    </row>
    <row r="138" spans="2:16">
      <c r="B138" s="141" t="s">
        <v>125</v>
      </c>
      <c r="C138" s="141" t="s">
        <v>126</v>
      </c>
      <c r="D138" s="141" t="s">
        <v>7</v>
      </c>
      <c r="E138" s="141" t="s">
        <v>9</v>
      </c>
      <c r="F138" s="141" t="s">
        <v>9</v>
      </c>
      <c r="G138" s="141" t="s">
        <v>8</v>
      </c>
      <c r="H138" s="141" t="s">
        <v>10</v>
      </c>
      <c r="I138" s="141" t="s">
        <v>11</v>
      </c>
      <c r="J138" s="141" t="s">
        <v>12</v>
      </c>
      <c r="K138" s="141" t="s">
        <v>13</v>
      </c>
      <c r="L138" s="141" t="s">
        <v>5</v>
      </c>
      <c r="M138" s="141" t="s">
        <v>6</v>
      </c>
      <c r="N138" s="141" t="s">
        <v>7</v>
      </c>
      <c r="O138" s="141" t="s">
        <v>8</v>
      </c>
      <c r="P138" s="141" t="s">
        <v>7</v>
      </c>
    </row>
    <row r="139" spans="2:16">
      <c r="B139" s="109" t="s">
        <v>159</v>
      </c>
      <c r="C139" s="109" t="s">
        <v>22</v>
      </c>
      <c r="D139" s="131">
        <v>8664.2000000000007</v>
      </c>
      <c r="E139" s="131">
        <v>0</v>
      </c>
      <c r="F139" s="131">
        <v>544</v>
      </c>
      <c r="G139" s="131">
        <v>0</v>
      </c>
      <c r="H139" s="131">
        <v>0</v>
      </c>
      <c r="I139" s="131">
        <v>0</v>
      </c>
      <c r="J139" s="131">
        <v>240</v>
      </c>
      <c r="K139" s="131">
        <v>1160</v>
      </c>
      <c r="L139" s="131">
        <v>0</v>
      </c>
      <c r="M139" s="131">
        <v>712.6</v>
      </c>
      <c r="N139" s="131">
        <v>1411.7</v>
      </c>
      <c r="O139" s="131">
        <v>1412</v>
      </c>
      <c r="P139" s="131">
        <v>538</v>
      </c>
    </row>
    <row r="140" spans="2:16">
      <c r="B140" s="109" t="s">
        <v>159</v>
      </c>
      <c r="C140" s="109" t="s">
        <v>234</v>
      </c>
      <c r="D140" s="131">
        <v>0</v>
      </c>
      <c r="E140" s="131">
        <v>0</v>
      </c>
      <c r="F140" s="131">
        <v>0</v>
      </c>
      <c r="G140" s="131">
        <v>0</v>
      </c>
      <c r="H140" s="131">
        <v>0</v>
      </c>
      <c r="I140" s="131">
        <v>0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31">
        <v>9600</v>
      </c>
      <c r="P140" s="131">
        <v>0</v>
      </c>
    </row>
    <row r="141" spans="2:16">
      <c r="B141" s="109" t="s">
        <v>159</v>
      </c>
      <c r="C141" s="109" t="s">
        <v>235</v>
      </c>
      <c r="D141" s="131">
        <v>418905</v>
      </c>
      <c r="E141" s="131">
        <v>206083.6</v>
      </c>
      <c r="F141" s="131">
        <v>157445</v>
      </c>
      <c r="G141" s="131">
        <v>238113.9</v>
      </c>
      <c r="H141" s="131">
        <v>177358.6</v>
      </c>
      <c r="I141" s="131">
        <v>91594.1</v>
      </c>
      <c r="J141" s="131">
        <v>76065.2</v>
      </c>
      <c r="K141" s="131">
        <v>91091.6</v>
      </c>
      <c r="L141" s="131">
        <v>35729</v>
      </c>
      <c r="M141" s="131">
        <v>198516.2</v>
      </c>
      <c r="N141" s="131">
        <v>631868</v>
      </c>
      <c r="O141" s="131">
        <v>454829.4</v>
      </c>
      <c r="P141" s="131">
        <v>384999.4</v>
      </c>
    </row>
    <row r="142" spans="2:16">
      <c r="B142" s="109" t="s">
        <v>159</v>
      </c>
      <c r="C142" s="109" t="s">
        <v>26</v>
      </c>
      <c r="D142" s="131">
        <v>894330.4</v>
      </c>
      <c r="E142" s="131">
        <v>917663.8</v>
      </c>
      <c r="F142" s="131">
        <v>927968.4</v>
      </c>
      <c r="G142" s="131">
        <v>928531.9</v>
      </c>
      <c r="H142" s="131">
        <v>907062.2</v>
      </c>
      <c r="I142" s="131">
        <v>657310.6</v>
      </c>
      <c r="J142" s="131">
        <v>577468</v>
      </c>
      <c r="K142" s="131">
        <v>640964.5</v>
      </c>
      <c r="L142" s="131">
        <v>696156.2</v>
      </c>
      <c r="M142" s="131">
        <v>665095.19999999995</v>
      </c>
      <c r="N142" s="131">
        <v>670791.6</v>
      </c>
      <c r="O142" s="131">
        <v>684899.6</v>
      </c>
      <c r="P142" s="131">
        <v>642959.4</v>
      </c>
    </row>
    <row r="143" spans="2:16">
      <c r="B143" s="109" t="s">
        <v>159</v>
      </c>
      <c r="C143" s="109" t="s">
        <v>236</v>
      </c>
      <c r="D143" s="131">
        <v>0</v>
      </c>
      <c r="E143" s="131">
        <v>1217</v>
      </c>
      <c r="F143" s="131">
        <v>7584</v>
      </c>
      <c r="G143" s="131">
        <v>7932.8</v>
      </c>
      <c r="H143" s="131">
        <v>0</v>
      </c>
      <c r="I143" s="131">
        <v>23959.3</v>
      </c>
      <c r="J143" s="131">
        <v>0</v>
      </c>
      <c r="K143" s="131">
        <v>0</v>
      </c>
      <c r="L143" s="131">
        <v>0</v>
      </c>
      <c r="M143" s="131">
        <v>139.6</v>
      </c>
      <c r="N143" s="131">
        <v>13667.9</v>
      </c>
      <c r="O143" s="131">
        <v>2812.1</v>
      </c>
      <c r="P143" s="131">
        <v>0</v>
      </c>
    </row>
    <row r="144" spans="2:16">
      <c r="B144" s="109" t="s">
        <v>159</v>
      </c>
      <c r="C144" s="109" t="s">
        <v>0</v>
      </c>
      <c r="D144" s="131">
        <v>1321899.6000000001</v>
      </c>
      <c r="E144" s="131">
        <v>1124964.3999999999</v>
      </c>
      <c r="F144" s="131">
        <v>1093541.3999999999</v>
      </c>
      <c r="G144" s="131">
        <v>1174578.6000000001</v>
      </c>
      <c r="H144" s="131">
        <v>1084420.8</v>
      </c>
      <c r="I144" s="131">
        <v>772864</v>
      </c>
      <c r="J144" s="131">
        <v>653773.19999999995</v>
      </c>
      <c r="K144" s="131">
        <v>733216.1</v>
      </c>
      <c r="L144" s="131">
        <v>731885.2</v>
      </c>
      <c r="M144" s="131">
        <v>864463.6</v>
      </c>
      <c r="N144" s="131">
        <v>1317739.2</v>
      </c>
      <c r="O144" s="131">
        <v>1153553.1000000001</v>
      </c>
      <c r="P144" s="131">
        <v>1028496.8</v>
      </c>
    </row>
    <row r="145" spans="2:16">
      <c r="B145" s="109" t="s">
        <v>160</v>
      </c>
      <c r="C145" s="109" t="s">
        <v>22</v>
      </c>
      <c r="D145" s="131">
        <v>1360.8</v>
      </c>
      <c r="E145" s="131">
        <v>921.3</v>
      </c>
      <c r="F145" s="131">
        <v>0</v>
      </c>
      <c r="G145" s="131">
        <v>2865.3</v>
      </c>
      <c r="H145" s="131">
        <v>3920</v>
      </c>
      <c r="I145" s="131">
        <v>24</v>
      </c>
      <c r="J145" s="131">
        <v>0</v>
      </c>
      <c r="K145" s="131">
        <v>1009.1</v>
      </c>
      <c r="L145" s="131">
        <v>0</v>
      </c>
      <c r="M145" s="131">
        <v>1026.5</v>
      </c>
      <c r="N145" s="131">
        <v>623</v>
      </c>
      <c r="O145" s="131">
        <v>12</v>
      </c>
      <c r="P145" s="131">
        <v>0</v>
      </c>
    </row>
    <row r="146" spans="2:16">
      <c r="B146" s="109" t="s">
        <v>160</v>
      </c>
      <c r="C146" s="109" t="s">
        <v>237</v>
      </c>
      <c r="D146" s="131">
        <v>18605.400000000001</v>
      </c>
      <c r="E146" s="131">
        <v>366.7</v>
      </c>
      <c r="F146" s="131">
        <v>0</v>
      </c>
      <c r="G146" s="131">
        <v>0</v>
      </c>
      <c r="H146" s="131">
        <v>0</v>
      </c>
      <c r="I146" s="131">
        <v>856</v>
      </c>
      <c r="J146" s="131">
        <v>0</v>
      </c>
      <c r="K146" s="131">
        <v>0</v>
      </c>
      <c r="L146" s="131">
        <v>2763.2</v>
      </c>
      <c r="M146" s="131">
        <v>6933.6</v>
      </c>
      <c r="N146" s="131">
        <v>755.1</v>
      </c>
      <c r="O146" s="131">
        <v>1460</v>
      </c>
      <c r="P146" s="131">
        <v>0</v>
      </c>
    </row>
    <row r="147" spans="2:16">
      <c r="B147" s="109" t="s">
        <v>160</v>
      </c>
      <c r="C147" s="109" t="s">
        <v>235</v>
      </c>
      <c r="D147" s="131">
        <v>0</v>
      </c>
      <c r="E147" s="131">
        <v>294</v>
      </c>
      <c r="F147" s="131">
        <v>11178.1</v>
      </c>
      <c r="G147" s="131">
        <v>4145.2</v>
      </c>
      <c r="H147" s="131">
        <v>2530</v>
      </c>
      <c r="I147" s="131">
        <v>15307.2</v>
      </c>
      <c r="J147" s="131">
        <v>2438</v>
      </c>
      <c r="K147" s="131">
        <v>0</v>
      </c>
      <c r="L147" s="131">
        <v>0</v>
      </c>
      <c r="M147" s="131">
        <v>58033.7</v>
      </c>
      <c r="N147" s="131">
        <v>20255.7</v>
      </c>
      <c r="O147" s="131">
        <v>158.4</v>
      </c>
      <c r="P147" s="131">
        <v>6575</v>
      </c>
    </row>
    <row r="148" spans="2:16">
      <c r="B148" s="109" t="s">
        <v>160</v>
      </c>
      <c r="C148" s="109" t="s">
        <v>26</v>
      </c>
      <c r="D148" s="131">
        <v>0</v>
      </c>
      <c r="E148" s="131">
        <v>4100.8</v>
      </c>
      <c r="F148" s="131">
        <v>0</v>
      </c>
      <c r="G148" s="131">
        <v>0</v>
      </c>
      <c r="H148" s="131">
        <v>0</v>
      </c>
      <c r="I148" s="131">
        <v>30295.599999999999</v>
      </c>
      <c r="J148" s="131">
        <v>3386</v>
      </c>
      <c r="K148" s="131">
        <v>0</v>
      </c>
      <c r="L148" s="131">
        <v>400</v>
      </c>
      <c r="M148" s="131">
        <v>0</v>
      </c>
      <c r="N148" s="131">
        <v>17094</v>
      </c>
      <c r="O148" s="131">
        <v>0</v>
      </c>
      <c r="P148" s="131">
        <v>0</v>
      </c>
    </row>
    <row r="149" spans="2:16">
      <c r="B149" s="109" t="s">
        <v>160</v>
      </c>
      <c r="C149" s="109" t="s">
        <v>238</v>
      </c>
      <c r="D149" s="131">
        <v>822</v>
      </c>
      <c r="E149" s="131">
        <v>2338.3000000000002</v>
      </c>
      <c r="F149" s="131">
        <v>16656.7</v>
      </c>
      <c r="G149" s="131">
        <v>11379.4</v>
      </c>
      <c r="H149" s="131">
        <v>2970.9</v>
      </c>
      <c r="I149" s="131">
        <v>607.6</v>
      </c>
      <c r="J149" s="131">
        <v>274</v>
      </c>
      <c r="K149" s="131">
        <v>0</v>
      </c>
      <c r="L149" s="131">
        <v>0</v>
      </c>
      <c r="M149" s="131">
        <v>988.1</v>
      </c>
      <c r="N149" s="131">
        <v>5344.3</v>
      </c>
      <c r="O149" s="131">
        <v>1844.3</v>
      </c>
      <c r="P149" s="131">
        <v>2859</v>
      </c>
    </row>
    <row r="150" spans="2:16">
      <c r="B150" s="109" t="s">
        <v>160</v>
      </c>
      <c r="C150" s="109" t="s">
        <v>239</v>
      </c>
      <c r="D150" s="131">
        <v>0</v>
      </c>
      <c r="E150" s="131">
        <v>0</v>
      </c>
      <c r="F150" s="131">
        <v>0</v>
      </c>
      <c r="G150" s="131">
        <v>0</v>
      </c>
      <c r="H150" s="131">
        <v>95.9</v>
      </c>
      <c r="I150" s="131">
        <v>0</v>
      </c>
      <c r="J150" s="131">
        <v>0</v>
      </c>
      <c r="K150" s="131">
        <v>0</v>
      </c>
      <c r="L150" s="131">
        <v>0</v>
      </c>
      <c r="M150" s="131">
        <v>57.8</v>
      </c>
      <c r="N150" s="131">
        <v>0</v>
      </c>
      <c r="O150" s="131">
        <v>0</v>
      </c>
      <c r="P150" s="131">
        <v>0</v>
      </c>
    </row>
    <row r="151" spans="2:16">
      <c r="B151" s="109" t="s">
        <v>160</v>
      </c>
      <c r="C151" s="109" t="s">
        <v>240</v>
      </c>
      <c r="D151" s="131">
        <v>899</v>
      </c>
      <c r="E151" s="131">
        <v>4944.8999999999996</v>
      </c>
      <c r="F151" s="131">
        <v>0</v>
      </c>
      <c r="G151" s="131">
        <v>0</v>
      </c>
      <c r="H151" s="131">
        <v>0</v>
      </c>
      <c r="I151" s="131">
        <v>0</v>
      </c>
      <c r="J151" s="131">
        <v>117.8</v>
      </c>
      <c r="K151" s="131">
        <v>2368.1</v>
      </c>
      <c r="L151" s="131">
        <v>0</v>
      </c>
      <c r="M151" s="131">
        <v>0</v>
      </c>
      <c r="N151" s="131">
        <v>617.6</v>
      </c>
      <c r="O151" s="131">
        <v>0</v>
      </c>
      <c r="P151" s="131">
        <v>725.3</v>
      </c>
    </row>
    <row r="152" spans="2:16">
      <c r="B152" s="109" t="s">
        <v>160</v>
      </c>
      <c r="C152" s="109" t="s">
        <v>241</v>
      </c>
      <c r="D152" s="131">
        <v>0</v>
      </c>
      <c r="E152" s="131">
        <v>0</v>
      </c>
      <c r="F152" s="131">
        <v>91.5</v>
      </c>
      <c r="G152" s="131">
        <v>0</v>
      </c>
      <c r="H152" s="131">
        <v>0</v>
      </c>
      <c r="I152" s="131">
        <v>0</v>
      </c>
      <c r="J152" s="131">
        <v>0</v>
      </c>
      <c r="K152" s="131">
        <v>0</v>
      </c>
      <c r="L152" s="131">
        <v>0</v>
      </c>
      <c r="M152" s="131">
        <v>0</v>
      </c>
      <c r="N152" s="131">
        <v>0</v>
      </c>
      <c r="O152" s="131">
        <v>0</v>
      </c>
      <c r="P152" s="131">
        <v>0</v>
      </c>
    </row>
    <row r="153" spans="2:16">
      <c r="B153" s="109" t="s">
        <v>160</v>
      </c>
      <c r="C153" s="109" t="s">
        <v>0</v>
      </c>
      <c r="D153" s="131">
        <v>21687.200000000001</v>
      </c>
      <c r="E153" s="131">
        <v>12966</v>
      </c>
      <c r="F153" s="131">
        <v>27926.3</v>
      </c>
      <c r="G153" s="131">
        <v>18389.900000000001</v>
      </c>
      <c r="H153" s="131">
        <v>9516.7999999999993</v>
      </c>
      <c r="I153" s="131">
        <v>47090.400000000001</v>
      </c>
      <c r="J153" s="131">
        <v>6215.8</v>
      </c>
      <c r="K153" s="131">
        <v>3377.2</v>
      </c>
      <c r="L153" s="131">
        <v>3163.2</v>
      </c>
      <c r="M153" s="131">
        <v>67039.7</v>
      </c>
      <c r="N153" s="131">
        <v>44689.7</v>
      </c>
      <c r="O153" s="131">
        <v>3474.7</v>
      </c>
      <c r="P153" s="131">
        <v>10159.299999999999</v>
      </c>
    </row>
    <row r="154" spans="2:16">
      <c r="B154" s="109"/>
      <c r="C154" s="109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</row>
    <row r="155" spans="2:16">
      <c r="B155" s="109"/>
      <c r="C155" s="109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>
      <c r="B156" s="109"/>
      <c r="C156" s="109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</row>
    <row r="157" spans="2:16">
      <c r="B157" s="109"/>
      <c r="C157" s="109"/>
      <c r="D157" s="131">
        <v>67.422804182700006</v>
      </c>
      <c r="E157" s="131">
        <v>69.294106506800006</v>
      </c>
      <c r="F157" s="131">
        <v>71.028984581700001</v>
      </c>
      <c r="G157" s="131">
        <v>74.006406740299994</v>
      </c>
      <c r="H157" s="131">
        <v>79.845896002700002</v>
      </c>
      <c r="I157" s="131">
        <v>102.1739283237</v>
      </c>
      <c r="J157" s="131">
        <v>80.507212944800003</v>
      </c>
      <c r="K157" s="131">
        <v>89.322719495699999</v>
      </c>
      <c r="L157" s="131">
        <v>114.12251594919999</v>
      </c>
      <c r="M157" s="131">
        <v>92.084451201899995</v>
      </c>
      <c r="N157" s="131">
        <v>76.440865089200003</v>
      </c>
      <c r="O157" s="131">
        <v>81.132726105100005</v>
      </c>
      <c r="P157" s="131">
        <v>73.8586110623</v>
      </c>
    </row>
    <row r="158" spans="2:16">
      <c r="B158" s="111"/>
      <c r="C158" s="111"/>
      <c r="D158" s="144">
        <v>35.6660431038</v>
      </c>
      <c r="E158" s="144">
        <v>40.179360635499997</v>
      </c>
      <c r="F158" s="144">
        <v>42.7033473822</v>
      </c>
      <c r="G158" s="144">
        <v>41.243095938499998</v>
      </c>
      <c r="H158" s="144">
        <v>45.042061407200002</v>
      </c>
      <c r="I158" s="144">
        <v>59.241832602499997</v>
      </c>
      <c r="J158" s="144">
        <v>66.158074584100007</v>
      </c>
      <c r="K158" s="144">
        <v>63.3943088949</v>
      </c>
      <c r="L158" s="144">
        <v>87.216925897799996</v>
      </c>
      <c r="M158" s="144">
        <v>59.043409800500001</v>
      </c>
      <c r="N158" s="144">
        <v>45.244610503099999</v>
      </c>
      <c r="O158" s="144">
        <v>42.666926641099998</v>
      </c>
      <c r="P158" s="144">
        <v>47.541595385500003</v>
      </c>
    </row>
    <row r="159" spans="2:16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4"/>
      <c r="C160" s="109"/>
      <c r="D160" s="109"/>
      <c r="E160" s="109" t="s">
        <v>86</v>
      </c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4"/>
      <c r="C161" s="109" t="s">
        <v>78</v>
      </c>
      <c r="D161" s="109"/>
      <c r="E161" s="174">
        <f>(P144-D144)/D144</f>
        <v>-0.221955434436927</v>
      </c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4"/>
      <c r="C162" s="109" t="s">
        <v>79</v>
      </c>
      <c r="D162" s="109"/>
      <c r="E162" s="174">
        <f>(P153-D153)/D153</f>
        <v>-0.53155317422258297</v>
      </c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4"/>
      <c r="C163" s="109" t="s">
        <v>80</v>
      </c>
      <c r="D163" s="109"/>
      <c r="E163" s="174">
        <f>((P144+P153)-(D144+D153))/(D144+D153)</f>
        <v>-0.2269527357666806</v>
      </c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4"/>
      <c r="C164" s="109" t="s">
        <v>81</v>
      </c>
      <c r="D164" s="109"/>
      <c r="E164" s="174">
        <f>(P157-D157)/D157</f>
        <v>9.5454452801465584E-2</v>
      </c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4"/>
      <c r="C165" s="109" t="s">
        <v>82</v>
      </c>
      <c r="D165" s="109"/>
      <c r="E165" s="174">
        <f>(P158-D158)/D158</f>
        <v>0.33296523102207365</v>
      </c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</sheetData>
  <mergeCells count="16">
    <mergeCell ref="G60:G61"/>
    <mergeCell ref="H60:H61"/>
    <mergeCell ref="I60:I61"/>
    <mergeCell ref="J60:J61"/>
    <mergeCell ref="C60:C61"/>
    <mergeCell ref="D60:D61"/>
    <mergeCell ref="E60:E61"/>
    <mergeCell ref="F60:F61"/>
    <mergeCell ref="G43:G44"/>
    <mergeCell ref="H43:H44"/>
    <mergeCell ref="I43:I44"/>
    <mergeCell ref="J43:J44"/>
    <mergeCell ref="C43:C44"/>
    <mergeCell ref="D43:D44"/>
    <mergeCell ref="E43:E44"/>
    <mergeCell ref="F43:F4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2:T177"/>
  <sheetViews>
    <sheetView showGridLines="0" showRowColHeaders="0" workbookViewId="0">
      <selection activeCell="O156" sqref="O156"/>
    </sheetView>
  </sheetViews>
  <sheetFormatPr baseColWidth="10" defaultRowHeight="12.75"/>
  <cols>
    <col min="1" max="1" width="11.42578125" style="107"/>
    <col min="2" max="2" width="23.42578125" style="107" bestFit="1" customWidth="1"/>
    <col min="3" max="3" width="19.28515625" style="107" bestFit="1" customWidth="1"/>
    <col min="4" max="16384" width="11.42578125" style="107"/>
  </cols>
  <sheetData>
    <row r="2" spans="2:15">
      <c r="B2" s="106" t="s">
        <v>151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2:15">
      <c r="B3" s="108" t="s">
        <v>7</v>
      </c>
      <c r="C3" s="108" t="s">
        <v>9</v>
      </c>
      <c r="D3" s="108" t="s">
        <v>9</v>
      </c>
      <c r="E3" s="108" t="s">
        <v>8</v>
      </c>
      <c r="F3" s="108" t="s">
        <v>10</v>
      </c>
      <c r="G3" s="108" t="s">
        <v>11</v>
      </c>
      <c r="H3" s="108" t="s">
        <v>12</v>
      </c>
      <c r="I3" s="108" t="s">
        <v>13</v>
      </c>
      <c r="J3" s="108" t="s">
        <v>5</v>
      </c>
      <c r="K3" s="108" t="s">
        <v>6</v>
      </c>
      <c r="L3" s="108" t="s">
        <v>7</v>
      </c>
      <c r="M3" s="108" t="s">
        <v>8</v>
      </c>
      <c r="N3" s="108" t="s">
        <v>7</v>
      </c>
      <c r="O3" s="108"/>
    </row>
    <row r="4" spans="2:15">
      <c r="B4" s="106" t="s">
        <v>121</v>
      </c>
      <c r="C4" s="106" t="s">
        <v>208</v>
      </c>
      <c r="D4" s="106" t="s">
        <v>209</v>
      </c>
      <c r="E4" s="106" t="s">
        <v>210</v>
      </c>
      <c r="F4" s="106" t="s">
        <v>211</v>
      </c>
      <c r="G4" s="106" t="s">
        <v>212</v>
      </c>
      <c r="H4" s="106" t="s">
        <v>213</v>
      </c>
      <c r="I4" s="106" t="s">
        <v>214</v>
      </c>
      <c r="J4" s="106" t="s">
        <v>103</v>
      </c>
      <c r="K4" s="106" t="s">
        <v>215</v>
      </c>
      <c r="L4" s="106" t="s">
        <v>216</v>
      </c>
      <c r="M4" s="106" t="s">
        <v>217</v>
      </c>
      <c r="N4" s="106" t="s">
        <v>218</v>
      </c>
      <c r="O4" s="106" t="s">
        <v>219</v>
      </c>
    </row>
    <row r="5" spans="2:15">
      <c r="B5" s="108" t="s">
        <v>32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2:15">
      <c r="B6" s="109" t="s">
        <v>127</v>
      </c>
      <c r="C6" s="110">
        <v>666.32795698919995</v>
      </c>
      <c r="D6" s="110">
        <v>664.29166666670005</v>
      </c>
      <c r="E6" s="110">
        <v>686.78763440859996</v>
      </c>
      <c r="F6" s="110">
        <v>694.56048387099997</v>
      </c>
      <c r="G6" s="110">
        <v>691.88888888890006</v>
      </c>
      <c r="H6" s="110">
        <v>669.59060402679995</v>
      </c>
      <c r="I6" s="110">
        <v>686.04444444440003</v>
      </c>
      <c r="J6" s="110">
        <v>698.83602150540003</v>
      </c>
      <c r="K6" s="110">
        <v>712.52016129030005</v>
      </c>
      <c r="L6" s="110">
        <v>690.06696428570001</v>
      </c>
      <c r="M6" s="110">
        <v>679.79004037690004</v>
      </c>
      <c r="N6" s="110">
        <v>667.79305555559995</v>
      </c>
      <c r="O6" s="110">
        <v>657.63440860219998</v>
      </c>
    </row>
    <row r="7" spans="2:15">
      <c r="B7" s="109" t="s">
        <v>128</v>
      </c>
      <c r="C7" s="110">
        <v>499.50134408600002</v>
      </c>
      <c r="D7" s="110">
        <v>497.6458333333</v>
      </c>
      <c r="E7" s="110">
        <v>513.09139784950003</v>
      </c>
      <c r="F7" s="110">
        <v>509.94758064519999</v>
      </c>
      <c r="G7" s="110">
        <v>514.5902777778</v>
      </c>
      <c r="H7" s="110">
        <v>502.7570469799</v>
      </c>
      <c r="I7" s="110">
        <v>509.3888888889</v>
      </c>
      <c r="J7" s="110">
        <v>515.34946236559995</v>
      </c>
      <c r="K7" s="110">
        <v>520.03225806449996</v>
      </c>
      <c r="L7" s="110">
        <v>516.89732142859998</v>
      </c>
      <c r="M7" s="110">
        <v>513.60969044410001</v>
      </c>
      <c r="N7" s="110">
        <v>504.98472222219999</v>
      </c>
      <c r="O7" s="110">
        <v>508.80510752689997</v>
      </c>
    </row>
    <row r="8" spans="2:15">
      <c r="B8" s="111" t="s">
        <v>129</v>
      </c>
      <c r="C8" s="184">
        <v>18.616068699100001</v>
      </c>
      <c r="D8" s="184">
        <v>11.4989193337</v>
      </c>
      <c r="E8" s="184">
        <v>11.051812032999999</v>
      </c>
      <c r="F8" s="184">
        <v>10.705185459200001</v>
      </c>
      <c r="G8" s="184">
        <v>8.6965031858999993</v>
      </c>
      <c r="H8" s="184">
        <v>10.667894227</v>
      </c>
      <c r="I8" s="184">
        <v>15.1275113394</v>
      </c>
      <c r="J8" s="184">
        <v>13.988426286899999</v>
      </c>
      <c r="K8" s="184">
        <v>19.8404244623</v>
      </c>
      <c r="L8" s="184">
        <v>15.125065320299999</v>
      </c>
      <c r="M8" s="184">
        <v>11.5469110496</v>
      </c>
      <c r="N8" s="184">
        <v>14.6645191734</v>
      </c>
      <c r="O8" s="184">
        <v>14.2514912811</v>
      </c>
    </row>
    <row r="9" spans="2:15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2:15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</row>
    <row r="11" spans="2:15">
      <c r="B11" s="109"/>
      <c r="C11" s="109" t="s">
        <v>85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</row>
    <row r="12" spans="2:15">
      <c r="B12" s="109" t="s">
        <v>67</v>
      </c>
      <c r="C12" s="174">
        <f>(O6-C6)/C6</f>
        <v>-1.3046951273486597E-2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</row>
    <row r="13" spans="2:15">
      <c r="B13" s="109" t="s">
        <v>15</v>
      </c>
      <c r="C13" s="174">
        <f>(O8-C8)/C8</f>
        <v>-0.23445215467060498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2:15"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</row>
    <row r="15" spans="2:15">
      <c r="B15" s="106" t="s">
        <v>158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</row>
    <row r="16" spans="2:15">
      <c r="B16" s="108" t="s">
        <v>130</v>
      </c>
      <c r="C16" s="117">
        <v>2016</v>
      </c>
      <c r="D16" s="117">
        <v>2016</v>
      </c>
      <c r="E16" s="117">
        <v>2016</v>
      </c>
      <c r="F16" s="117">
        <v>2016</v>
      </c>
      <c r="G16" s="117">
        <v>2016</v>
      </c>
      <c r="H16" s="117">
        <v>2016</v>
      </c>
      <c r="I16" s="117">
        <v>2016</v>
      </c>
      <c r="J16" s="117">
        <v>2016</v>
      </c>
      <c r="K16" s="117">
        <v>2017</v>
      </c>
      <c r="L16" s="117">
        <v>2017</v>
      </c>
      <c r="M16" s="117">
        <v>2017</v>
      </c>
      <c r="N16" s="117">
        <v>2017</v>
      </c>
      <c r="O16" s="117">
        <v>2017</v>
      </c>
    </row>
    <row r="17" spans="2:20">
      <c r="B17" s="106" t="s">
        <v>121</v>
      </c>
      <c r="C17" s="106" t="s">
        <v>208</v>
      </c>
      <c r="D17" s="106" t="s">
        <v>209</v>
      </c>
      <c r="E17" s="106" t="s">
        <v>210</v>
      </c>
      <c r="F17" s="106" t="s">
        <v>211</v>
      </c>
      <c r="G17" s="106" t="s">
        <v>212</v>
      </c>
      <c r="H17" s="106" t="s">
        <v>213</v>
      </c>
      <c r="I17" s="106" t="s">
        <v>214</v>
      </c>
      <c r="J17" s="106" t="s">
        <v>103</v>
      </c>
      <c r="K17" s="106" t="s">
        <v>215</v>
      </c>
      <c r="L17" s="106" t="s">
        <v>216</v>
      </c>
      <c r="M17" s="106" t="s">
        <v>217</v>
      </c>
      <c r="N17" s="106" t="s">
        <v>218</v>
      </c>
      <c r="O17" s="106" t="s">
        <v>219</v>
      </c>
    </row>
    <row r="18" spans="2:20">
      <c r="B18" s="108" t="s">
        <v>32</v>
      </c>
      <c r="C18" s="108" t="s">
        <v>7</v>
      </c>
      <c r="D18" s="108" t="s">
        <v>9</v>
      </c>
      <c r="E18" s="108" t="s">
        <v>9</v>
      </c>
      <c r="F18" s="108" t="s">
        <v>8</v>
      </c>
      <c r="G18" s="108" t="s">
        <v>10</v>
      </c>
      <c r="H18" s="108" t="s">
        <v>11</v>
      </c>
      <c r="I18" s="108" t="s">
        <v>12</v>
      </c>
      <c r="J18" s="108" t="s">
        <v>13</v>
      </c>
      <c r="K18" s="108" t="s">
        <v>5</v>
      </c>
      <c r="L18" s="108" t="s">
        <v>6</v>
      </c>
      <c r="M18" s="108" t="s">
        <v>7</v>
      </c>
      <c r="N18" s="108" t="s">
        <v>8</v>
      </c>
      <c r="O18" s="108" t="s">
        <v>7</v>
      </c>
    </row>
    <row r="19" spans="2:20">
      <c r="B19" s="109" t="s">
        <v>242</v>
      </c>
      <c r="C19" s="110">
        <v>182305.28</v>
      </c>
      <c r="D19" s="110">
        <v>127443.428</v>
      </c>
      <c r="E19" s="110">
        <v>94842.941000000006</v>
      </c>
      <c r="F19" s="110">
        <v>101251.535</v>
      </c>
      <c r="G19" s="110">
        <v>95450.948000000004</v>
      </c>
      <c r="H19" s="110">
        <v>89660.354000000007</v>
      </c>
      <c r="I19" s="110">
        <v>103079.48699999999</v>
      </c>
      <c r="J19" s="110">
        <v>111652.906</v>
      </c>
      <c r="K19" s="110">
        <v>114098.605</v>
      </c>
      <c r="L19" s="110">
        <v>123063.594</v>
      </c>
      <c r="M19" s="110">
        <v>142874.97500000001</v>
      </c>
      <c r="N19" s="110">
        <v>143332.88099999999</v>
      </c>
      <c r="O19" s="110">
        <v>124663.514</v>
      </c>
    </row>
    <row r="20" spans="2:20">
      <c r="B20" s="111" t="s">
        <v>243</v>
      </c>
      <c r="C20" s="185">
        <v>57735.940999999999</v>
      </c>
      <c r="D20" s="185">
        <v>73081.98</v>
      </c>
      <c r="E20" s="185">
        <v>91860.525999999998</v>
      </c>
      <c r="F20" s="185">
        <v>86754.803</v>
      </c>
      <c r="G20" s="185">
        <v>97600.017999999996</v>
      </c>
      <c r="H20" s="185">
        <v>116442.124</v>
      </c>
      <c r="I20" s="185">
        <v>105775.107</v>
      </c>
      <c r="J20" s="185">
        <v>84597.135999999999</v>
      </c>
      <c r="K20" s="185">
        <v>108041.45299999999</v>
      </c>
      <c r="L20" s="185">
        <v>65058.027000000002</v>
      </c>
      <c r="M20" s="185">
        <v>65080.661999999997</v>
      </c>
      <c r="N20" s="185">
        <v>56832.525000000001</v>
      </c>
      <c r="O20" s="185">
        <v>67245.510999999999</v>
      </c>
    </row>
    <row r="21" spans="2:20">
      <c r="B21" s="112"/>
      <c r="C21" s="185">
        <f t="shared" ref="C21:O21" si="0">-C20</f>
        <v>-57735.940999999999</v>
      </c>
      <c r="D21" s="185">
        <f t="shared" si="0"/>
        <v>-73081.98</v>
      </c>
      <c r="E21" s="185">
        <f t="shared" si="0"/>
        <v>-91860.525999999998</v>
      </c>
      <c r="F21" s="185">
        <f t="shared" si="0"/>
        <v>-86754.803</v>
      </c>
      <c r="G21" s="185">
        <f t="shared" si="0"/>
        <v>-97600.017999999996</v>
      </c>
      <c r="H21" s="185">
        <f t="shared" si="0"/>
        <v>-116442.124</v>
      </c>
      <c r="I21" s="185">
        <f t="shared" si="0"/>
        <v>-105775.107</v>
      </c>
      <c r="J21" s="185">
        <f t="shared" si="0"/>
        <v>-84597.135999999999</v>
      </c>
      <c r="K21" s="185">
        <f t="shared" si="0"/>
        <v>-108041.45299999999</v>
      </c>
      <c r="L21" s="185">
        <f t="shared" si="0"/>
        <v>-65058.027000000002</v>
      </c>
      <c r="M21" s="185">
        <f t="shared" si="0"/>
        <v>-65080.661999999997</v>
      </c>
      <c r="N21" s="185">
        <f t="shared" si="0"/>
        <v>-56832.525000000001</v>
      </c>
      <c r="O21" s="185">
        <f t="shared" si="0"/>
        <v>-67245.510999999999</v>
      </c>
    </row>
    <row r="22" spans="2:20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20">
      <c r="B23" s="109" t="s">
        <v>71</v>
      </c>
      <c r="C23" s="176">
        <v>34.957113419899997</v>
      </c>
      <c r="D23" s="176">
        <v>42.795358659100003</v>
      </c>
      <c r="E23" s="176">
        <v>42.778241450800003</v>
      </c>
      <c r="F23" s="176">
        <v>42.113317590699999</v>
      </c>
      <c r="G23" s="176">
        <v>44.897175667699997</v>
      </c>
      <c r="H23" s="176">
        <v>52.989699438400002</v>
      </c>
      <c r="I23" s="176">
        <v>58.889238651299998</v>
      </c>
      <c r="J23" s="176">
        <v>62.754847688399998</v>
      </c>
      <c r="K23" s="176">
        <v>75.307173036899997</v>
      </c>
      <c r="L23" s="176">
        <v>56.121769286199999</v>
      </c>
      <c r="M23" s="176">
        <v>47.867154202499997</v>
      </c>
      <c r="N23" s="176">
        <v>48.851768841499997</v>
      </c>
      <c r="O23" s="176">
        <v>50.732693448699997</v>
      </c>
    </row>
    <row r="24" spans="2:20">
      <c r="B24" s="111" t="s">
        <v>72</v>
      </c>
      <c r="C24" s="177">
        <v>15.7738338412</v>
      </c>
      <c r="D24" s="177">
        <v>29.031670050500001</v>
      </c>
      <c r="E24" s="177">
        <v>33.197472982000001</v>
      </c>
      <c r="F24" s="177">
        <v>32.055494956300002</v>
      </c>
      <c r="G24" s="177">
        <v>35.148232452199998</v>
      </c>
      <c r="H24" s="177">
        <v>45.464406849900001</v>
      </c>
      <c r="I24" s="177">
        <v>50.752464660699999</v>
      </c>
      <c r="J24" s="177">
        <v>52.399029560499997</v>
      </c>
      <c r="K24" s="177">
        <v>65.800001782600006</v>
      </c>
      <c r="L24" s="177">
        <v>39.8691003956</v>
      </c>
      <c r="M24" s="177">
        <v>31.858757214200001</v>
      </c>
      <c r="N24" s="177">
        <v>33.552731292499999</v>
      </c>
      <c r="O24" s="177">
        <v>39.81575127</v>
      </c>
    </row>
    <row r="25" spans="2:20" ht="15">
      <c r="B25" s="114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09" t="s">
        <v>86</v>
      </c>
      <c r="T25" s="175"/>
    </row>
    <row r="26" spans="2:20" ht="15">
      <c r="B26" s="114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09" t="s">
        <v>70</v>
      </c>
      <c r="N26" s="109"/>
      <c r="O26" s="174">
        <f>(O19-C19)/C19</f>
        <v>-0.31618264704127058</v>
      </c>
      <c r="T26" s="170"/>
    </row>
    <row r="27" spans="2:20" ht="15">
      <c r="B27" s="114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09" t="s">
        <v>69</v>
      </c>
      <c r="N27" s="109"/>
      <c r="O27" s="174">
        <f>(O20-C20)/C20</f>
        <v>0.16470797626733061</v>
      </c>
    </row>
    <row r="28" spans="2:20" ht="15">
      <c r="B28" s="114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09" t="s">
        <v>75</v>
      </c>
      <c r="N28" s="109"/>
      <c r="O28" s="174">
        <f>((O19+O20)-(C19+C20))/(C19+C20)</f>
        <v>-0.20051637714340736</v>
      </c>
    </row>
    <row r="29" spans="2:20" ht="15">
      <c r="B29" s="114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09" t="s">
        <v>71</v>
      </c>
      <c r="N29" s="109"/>
      <c r="O29" s="174">
        <f>(O23-C23)/C23</f>
        <v>0.45128382996919458</v>
      </c>
    </row>
    <row r="30" spans="2:20" ht="15">
      <c r="B30" s="114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09" t="s">
        <v>72</v>
      </c>
      <c r="N30" s="109"/>
      <c r="O30" s="174">
        <f>(O24-C24)/C24</f>
        <v>1.5241644910702952</v>
      </c>
    </row>
    <row r="32" spans="2:20">
      <c r="B32" s="106" t="s">
        <v>152</v>
      </c>
    </row>
    <row r="33" spans="2:16">
      <c r="B33" s="108"/>
      <c r="C33" s="108" t="s">
        <v>32</v>
      </c>
      <c r="D33" s="108" t="s">
        <v>131</v>
      </c>
      <c r="E33" s="108" t="s">
        <v>131</v>
      </c>
      <c r="F33" s="108" t="s">
        <v>131</v>
      </c>
      <c r="G33" s="108" t="s">
        <v>131</v>
      </c>
      <c r="H33" s="108" t="s">
        <v>131</v>
      </c>
      <c r="I33" s="108" t="s">
        <v>131</v>
      </c>
      <c r="J33" s="108" t="s">
        <v>131</v>
      </c>
      <c r="K33" s="108" t="s">
        <v>131</v>
      </c>
      <c r="L33" s="108" t="s">
        <v>131</v>
      </c>
      <c r="M33" s="108" t="s">
        <v>131</v>
      </c>
      <c r="N33" s="108" t="s">
        <v>131</v>
      </c>
      <c r="O33" s="108" t="s">
        <v>131</v>
      </c>
      <c r="P33" s="108" t="s">
        <v>131</v>
      </c>
    </row>
    <row r="34" spans="2:16">
      <c r="B34" s="108"/>
      <c r="C34" s="108" t="s">
        <v>121</v>
      </c>
      <c r="D34" s="108" t="s">
        <v>208</v>
      </c>
      <c r="E34" s="108" t="s">
        <v>209</v>
      </c>
      <c r="F34" s="108" t="s">
        <v>210</v>
      </c>
      <c r="G34" s="108" t="s">
        <v>211</v>
      </c>
      <c r="H34" s="108" t="s">
        <v>212</v>
      </c>
      <c r="I34" s="108" t="s">
        <v>213</v>
      </c>
      <c r="J34" s="108" t="s">
        <v>214</v>
      </c>
      <c r="K34" s="108" t="s">
        <v>103</v>
      </c>
      <c r="L34" s="108" t="s">
        <v>215</v>
      </c>
      <c r="M34" s="108" t="s">
        <v>216</v>
      </c>
      <c r="N34" s="108" t="s">
        <v>217</v>
      </c>
      <c r="O34" s="108" t="s">
        <v>218</v>
      </c>
      <c r="P34" s="108" t="s">
        <v>219</v>
      </c>
    </row>
    <row r="35" spans="2:16">
      <c r="B35" s="108" t="s">
        <v>125</v>
      </c>
      <c r="C35" s="108" t="s">
        <v>126</v>
      </c>
      <c r="D35" s="108" t="s">
        <v>7</v>
      </c>
      <c r="E35" s="108" t="s">
        <v>9</v>
      </c>
      <c r="F35" s="108" t="s">
        <v>9</v>
      </c>
      <c r="G35" s="108" t="s">
        <v>8</v>
      </c>
      <c r="H35" s="108" t="s">
        <v>10</v>
      </c>
      <c r="I35" s="108" t="s">
        <v>11</v>
      </c>
      <c r="J35" s="108" t="s">
        <v>12</v>
      </c>
      <c r="K35" s="108" t="s">
        <v>13</v>
      </c>
      <c r="L35" s="108" t="s">
        <v>5</v>
      </c>
      <c r="M35" s="108" t="s">
        <v>6</v>
      </c>
      <c r="N35" s="108" t="s">
        <v>7</v>
      </c>
      <c r="O35" s="108" t="s">
        <v>8</v>
      </c>
      <c r="P35" s="108" t="s">
        <v>7</v>
      </c>
    </row>
    <row r="36" spans="2:16">
      <c r="B36" s="109" t="s">
        <v>159</v>
      </c>
      <c r="C36" s="109" t="s">
        <v>244</v>
      </c>
      <c r="D36" s="179">
        <v>0</v>
      </c>
      <c r="E36" s="179">
        <v>0</v>
      </c>
      <c r="F36" s="179">
        <v>0</v>
      </c>
      <c r="G36" s="179">
        <v>0</v>
      </c>
      <c r="H36" s="179">
        <v>0</v>
      </c>
      <c r="I36" s="179">
        <v>0</v>
      </c>
      <c r="J36" s="179">
        <v>0</v>
      </c>
      <c r="K36" s="179">
        <v>0</v>
      </c>
      <c r="L36" s="179">
        <v>0</v>
      </c>
      <c r="M36" s="179">
        <v>0</v>
      </c>
      <c r="N36" s="179">
        <v>0</v>
      </c>
      <c r="O36" s="179">
        <v>0</v>
      </c>
      <c r="P36" s="179">
        <v>0</v>
      </c>
    </row>
    <row r="37" spans="2:16">
      <c r="B37" s="109" t="s">
        <v>159</v>
      </c>
      <c r="C37" s="109" t="s">
        <v>235</v>
      </c>
      <c r="D37" s="179">
        <v>53629.9</v>
      </c>
      <c r="E37" s="179">
        <v>56105.7</v>
      </c>
      <c r="F37" s="179">
        <v>52336</v>
      </c>
      <c r="G37" s="179">
        <v>37334.5</v>
      </c>
      <c r="H37" s="179">
        <v>37698.5</v>
      </c>
      <c r="I37" s="179">
        <v>28157.599999999999</v>
      </c>
      <c r="J37" s="179">
        <v>34938.5</v>
      </c>
      <c r="K37" s="179">
        <v>38367.5</v>
      </c>
      <c r="L37" s="179">
        <v>33693.800000000003</v>
      </c>
      <c r="M37" s="179">
        <v>19518.400000000001</v>
      </c>
      <c r="N37" s="179">
        <v>27782.799999999999</v>
      </c>
      <c r="O37" s="179">
        <v>26944.799999999999</v>
      </c>
      <c r="P37" s="179">
        <v>49018.7</v>
      </c>
    </row>
    <row r="38" spans="2:16">
      <c r="B38" s="109" t="s">
        <v>159</v>
      </c>
      <c r="C38" s="109" t="s">
        <v>26</v>
      </c>
      <c r="D38" s="179">
        <v>65079.6</v>
      </c>
      <c r="E38" s="179">
        <v>88155</v>
      </c>
      <c r="F38" s="179">
        <v>94541.2</v>
      </c>
      <c r="G38" s="179">
        <v>67871</v>
      </c>
      <c r="H38" s="179">
        <v>66682.3</v>
      </c>
      <c r="I38" s="179">
        <v>75179.899999999994</v>
      </c>
      <c r="J38" s="179">
        <v>96462</v>
      </c>
      <c r="K38" s="179">
        <v>66989.600000000006</v>
      </c>
      <c r="L38" s="179">
        <v>71645.3</v>
      </c>
      <c r="M38" s="179">
        <v>30319.3</v>
      </c>
      <c r="N38" s="179">
        <v>47861.9</v>
      </c>
      <c r="O38" s="179">
        <v>48899.3</v>
      </c>
      <c r="P38" s="179">
        <v>59814.3</v>
      </c>
    </row>
    <row r="39" spans="2:16">
      <c r="B39" s="109" t="s">
        <v>159</v>
      </c>
      <c r="C39" s="109" t="s">
        <v>241</v>
      </c>
      <c r="D39" s="179">
        <v>0</v>
      </c>
      <c r="E39" s="179">
        <v>0</v>
      </c>
      <c r="F39" s="179">
        <v>0</v>
      </c>
      <c r="G39" s="179">
        <v>0</v>
      </c>
      <c r="H39" s="179">
        <v>0</v>
      </c>
      <c r="I39" s="179">
        <v>2.2000000000000002</v>
      </c>
      <c r="J39" s="179">
        <v>10.5</v>
      </c>
      <c r="K39" s="179">
        <v>22.7</v>
      </c>
      <c r="L39" s="179">
        <v>16.3</v>
      </c>
      <c r="M39" s="179">
        <v>9.6</v>
      </c>
      <c r="N39" s="179">
        <v>30.1</v>
      </c>
      <c r="O39" s="179">
        <v>13.6</v>
      </c>
      <c r="P39" s="179">
        <v>7.3</v>
      </c>
    </row>
    <row r="40" spans="2:16">
      <c r="B40" s="109" t="s">
        <v>159</v>
      </c>
      <c r="C40" s="109" t="s">
        <v>236</v>
      </c>
      <c r="D40" s="179">
        <v>15177.5</v>
      </c>
      <c r="E40" s="179">
        <v>4098</v>
      </c>
      <c r="F40" s="179">
        <v>1399.6</v>
      </c>
      <c r="G40" s="179">
        <v>1577.6</v>
      </c>
      <c r="H40" s="179">
        <v>1355</v>
      </c>
      <c r="I40" s="179">
        <v>3499.1</v>
      </c>
      <c r="J40" s="179">
        <v>3432.1</v>
      </c>
      <c r="K40" s="179">
        <v>3010.5</v>
      </c>
      <c r="L40" s="179">
        <v>5899.1</v>
      </c>
      <c r="M40" s="179">
        <v>4595.7</v>
      </c>
      <c r="N40" s="179">
        <v>3279.6</v>
      </c>
      <c r="O40" s="179">
        <v>6553.1</v>
      </c>
      <c r="P40" s="179">
        <v>7845.9</v>
      </c>
    </row>
    <row r="41" spans="2:16">
      <c r="B41" s="109" t="s">
        <v>159</v>
      </c>
      <c r="C41" s="109" t="s">
        <v>245</v>
      </c>
      <c r="D41" s="179">
        <v>0</v>
      </c>
      <c r="E41" s="179">
        <v>0</v>
      </c>
      <c r="F41" s="179">
        <v>0</v>
      </c>
      <c r="G41" s="179">
        <v>0</v>
      </c>
      <c r="H41" s="179">
        <v>0</v>
      </c>
      <c r="I41" s="179">
        <v>0</v>
      </c>
      <c r="J41" s="179">
        <v>0</v>
      </c>
      <c r="K41" s="179">
        <v>0</v>
      </c>
      <c r="L41" s="179">
        <v>0</v>
      </c>
      <c r="M41" s="179">
        <v>0</v>
      </c>
      <c r="N41" s="179">
        <v>0</v>
      </c>
      <c r="O41" s="179">
        <v>0</v>
      </c>
      <c r="P41" s="179">
        <v>0</v>
      </c>
    </row>
    <row r="42" spans="2:16">
      <c r="B42" s="109" t="s">
        <v>159</v>
      </c>
      <c r="C42" s="109" t="s">
        <v>238</v>
      </c>
      <c r="D42" s="179">
        <v>1551.4</v>
      </c>
      <c r="E42" s="179">
        <v>1765.6</v>
      </c>
      <c r="F42" s="179">
        <v>1952.7</v>
      </c>
      <c r="G42" s="179">
        <v>2939.5</v>
      </c>
      <c r="H42" s="179">
        <v>2661.1</v>
      </c>
      <c r="I42" s="179">
        <v>2164.6999999999998</v>
      </c>
      <c r="J42" s="179">
        <v>3197.2</v>
      </c>
      <c r="K42" s="179">
        <v>2208.6</v>
      </c>
      <c r="L42" s="179">
        <v>4288.7</v>
      </c>
      <c r="M42" s="179">
        <v>2486.3000000000002</v>
      </c>
      <c r="N42" s="179">
        <v>3494.1</v>
      </c>
      <c r="O42" s="179">
        <v>2541.5</v>
      </c>
      <c r="P42" s="179">
        <v>7018.8</v>
      </c>
    </row>
    <row r="43" spans="2:16">
      <c r="B43" s="109" t="s">
        <v>159</v>
      </c>
      <c r="C43" s="109" t="s">
        <v>246</v>
      </c>
      <c r="D43" s="179">
        <v>0</v>
      </c>
      <c r="E43" s="179">
        <v>0</v>
      </c>
      <c r="F43" s="179">
        <v>0</v>
      </c>
      <c r="G43" s="179">
        <v>0</v>
      </c>
      <c r="H43" s="179">
        <v>0</v>
      </c>
      <c r="I43" s="179">
        <v>0</v>
      </c>
      <c r="J43" s="179">
        <v>0</v>
      </c>
      <c r="K43" s="179">
        <v>0</v>
      </c>
      <c r="L43" s="179">
        <v>0</v>
      </c>
      <c r="M43" s="179">
        <v>0</v>
      </c>
      <c r="N43" s="179">
        <v>0</v>
      </c>
      <c r="O43" s="179">
        <v>0</v>
      </c>
      <c r="P43" s="179">
        <v>0</v>
      </c>
    </row>
    <row r="44" spans="2:16">
      <c r="B44" s="109" t="s">
        <v>159</v>
      </c>
      <c r="C44" s="109" t="s">
        <v>22</v>
      </c>
      <c r="D44" s="179">
        <v>50504.5</v>
      </c>
      <c r="E44" s="179">
        <v>53472.5</v>
      </c>
      <c r="F44" s="179">
        <v>50314</v>
      </c>
      <c r="G44" s="179">
        <v>37964.300000000003</v>
      </c>
      <c r="H44" s="179">
        <v>53272.9</v>
      </c>
      <c r="I44" s="179">
        <v>70061.5</v>
      </c>
      <c r="J44" s="179">
        <v>72313.8</v>
      </c>
      <c r="K44" s="179">
        <v>52585.3</v>
      </c>
      <c r="L44" s="179">
        <v>99664.7</v>
      </c>
      <c r="M44" s="179">
        <v>21689.9</v>
      </c>
      <c r="N44" s="179">
        <v>75296.7</v>
      </c>
      <c r="O44" s="179">
        <v>45882.6</v>
      </c>
      <c r="P44" s="179">
        <v>58284.6</v>
      </c>
    </row>
    <row r="45" spans="2:16">
      <c r="B45" s="109" t="s">
        <v>159</v>
      </c>
      <c r="C45" s="109" t="s">
        <v>247</v>
      </c>
      <c r="D45" s="179">
        <v>0</v>
      </c>
      <c r="E45" s="179">
        <v>0</v>
      </c>
      <c r="F45" s="179">
        <v>0</v>
      </c>
      <c r="G45" s="179">
        <v>0</v>
      </c>
      <c r="H45" s="179">
        <v>0</v>
      </c>
      <c r="I45" s="179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9">
        <v>0</v>
      </c>
    </row>
    <row r="46" spans="2:16">
      <c r="B46" s="109" t="s">
        <v>159</v>
      </c>
      <c r="C46" s="109" t="s">
        <v>234</v>
      </c>
      <c r="D46" s="179">
        <v>57</v>
      </c>
      <c r="E46" s="179">
        <v>75</v>
      </c>
      <c r="F46" s="179">
        <v>0</v>
      </c>
      <c r="G46" s="179">
        <v>25</v>
      </c>
      <c r="H46" s="179">
        <v>0</v>
      </c>
      <c r="I46" s="179">
        <v>21.9</v>
      </c>
      <c r="J46" s="179">
        <v>0</v>
      </c>
      <c r="K46" s="179">
        <v>619.5</v>
      </c>
      <c r="L46" s="179">
        <v>0</v>
      </c>
      <c r="M46" s="179">
        <v>0</v>
      </c>
      <c r="N46" s="179">
        <v>0</v>
      </c>
      <c r="O46" s="179">
        <v>122</v>
      </c>
      <c r="P46" s="179">
        <v>169.5</v>
      </c>
    </row>
    <row r="47" spans="2:16">
      <c r="B47" s="109" t="s">
        <v>159</v>
      </c>
      <c r="C47" s="109" t="s">
        <v>248</v>
      </c>
      <c r="D47" s="179">
        <v>0</v>
      </c>
      <c r="E47" s="179">
        <v>0</v>
      </c>
      <c r="F47" s="179">
        <v>0</v>
      </c>
      <c r="G47" s="179">
        <v>0</v>
      </c>
      <c r="H47" s="179">
        <v>0</v>
      </c>
      <c r="I47" s="179">
        <v>0</v>
      </c>
      <c r="J47" s="179">
        <v>0</v>
      </c>
      <c r="K47" s="179">
        <v>0</v>
      </c>
      <c r="L47" s="179">
        <v>0</v>
      </c>
      <c r="M47" s="179">
        <v>0</v>
      </c>
      <c r="N47" s="179">
        <v>0</v>
      </c>
      <c r="O47" s="179">
        <v>0</v>
      </c>
      <c r="P47" s="179">
        <v>0</v>
      </c>
    </row>
    <row r="48" spans="2:16">
      <c r="B48" s="109" t="s">
        <v>159</v>
      </c>
      <c r="C48" s="109" t="s">
        <v>249</v>
      </c>
      <c r="D48" s="179">
        <v>0</v>
      </c>
      <c r="E48" s="179">
        <v>0</v>
      </c>
      <c r="F48" s="179">
        <v>0</v>
      </c>
      <c r="G48" s="179">
        <v>0</v>
      </c>
      <c r="H48" s="179">
        <v>0</v>
      </c>
      <c r="I48" s="179">
        <v>0</v>
      </c>
      <c r="J48" s="179">
        <v>0</v>
      </c>
      <c r="K48" s="179">
        <v>0</v>
      </c>
      <c r="L48" s="179">
        <v>0</v>
      </c>
      <c r="M48" s="179">
        <v>0</v>
      </c>
      <c r="N48" s="179">
        <v>0</v>
      </c>
      <c r="O48" s="179">
        <v>0</v>
      </c>
      <c r="P48" s="179">
        <v>0</v>
      </c>
    </row>
    <row r="49" spans="2:16">
      <c r="B49" s="109" t="s">
        <v>159</v>
      </c>
      <c r="C49" s="109" t="s">
        <v>239</v>
      </c>
      <c r="D49" s="179">
        <v>0</v>
      </c>
      <c r="E49" s="179">
        <v>0</v>
      </c>
      <c r="F49" s="179">
        <v>0</v>
      </c>
      <c r="G49" s="179">
        <v>0</v>
      </c>
      <c r="H49" s="179">
        <v>0</v>
      </c>
      <c r="I49" s="179">
        <v>0</v>
      </c>
      <c r="J49" s="179">
        <v>0</v>
      </c>
      <c r="K49" s="179">
        <v>0</v>
      </c>
      <c r="L49" s="179">
        <v>0</v>
      </c>
      <c r="M49" s="179">
        <v>0</v>
      </c>
      <c r="N49" s="179">
        <v>0</v>
      </c>
      <c r="O49" s="179">
        <v>0</v>
      </c>
      <c r="P49" s="179">
        <v>0</v>
      </c>
    </row>
    <row r="50" spans="2:16">
      <c r="B50" s="109" t="s">
        <v>159</v>
      </c>
      <c r="C50" s="109" t="s">
        <v>240</v>
      </c>
      <c r="D50" s="179">
        <v>0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9">
        <v>0</v>
      </c>
      <c r="L50" s="179">
        <v>0</v>
      </c>
      <c r="M50" s="179">
        <v>0</v>
      </c>
      <c r="N50" s="179">
        <v>0</v>
      </c>
      <c r="O50" s="179">
        <v>0</v>
      </c>
      <c r="P50" s="179">
        <v>0</v>
      </c>
    </row>
    <row r="51" spans="2:16">
      <c r="B51" s="109" t="s">
        <v>159</v>
      </c>
      <c r="C51" s="109" t="s">
        <v>237</v>
      </c>
      <c r="D51" s="179">
        <v>37889.800000000003</v>
      </c>
      <c r="E51" s="179">
        <v>25898.400000000001</v>
      </c>
      <c r="F51" s="179">
        <v>24575.3</v>
      </c>
      <c r="G51" s="179">
        <v>23687.200000000001</v>
      </c>
      <c r="H51" s="179">
        <v>23588.2</v>
      </c>
      <c r="I51" s="179">
        <v>29280.6</v>
      </c>
      <c r="J51" s="179">
        <v>56573.1</v>
      </c>
      <c r="K51" s="179">
        <v>39099.800000000003</v>
      </c>
      <c r="L51" s="179">
        <v>74414.2</v>
      </c>
      <c r="M51" s="179">
        <v>32220.5</v>
      </c>
      <c r="N51" s="179">
        <v>32248</v>
      </c>
      <c r="O51" s="179">
        <v>24942.1</v>
      </c>
      <c r="P51" s="179">
        <v>36979</v>
      </c>
    </row>
    <row r="52" spans="2:16">
      <c r="B52" s="109" t="s">
        <v>159</v>
      </c>
      <c r="C52" s="120" t="s">
        <v>0</v>
      </c>
      <c r="D52" s="121">
        <v>223889.7</v>
      </c>
      <c r="E52" s="121">
        <v>229570.2</v>
      </c>
      <c r="F52" s="121">
        <v>225118.8</v>
      </c>
      <c r="G52" s="121">
        <v>171399.1</v>
      </c>
      <c r="H52" s="121">
        <v>185258</v>
      </c>
      <c r="I52" s="121">
        <v>208367.5</v>
      </c>
      <c r="J52" s="121">
        <v>266927.2</v>
      </c>
      <c r="K52" s="121">
        <v>202903.5</v>
      </c>
      <c r="L52" s="121">
        <v>289622.09999999998</v>
      </c>
      <c r="M52" s="121">
        <v>110839.7</v>
      </c>
      <c r="N52" s="121">
        <v>189993.2</v>
      </c>
      <c r="O52" s="121">
        <v>155899</v>
      </c>
      <c r="P52" s="121">
        <v>219138.1</v>
      </c>
    </row>
    <row r="53" spans="2:16">
      <c r="B53" s="109" t="s">
        <v>160</v>
      </c>
      <c r="C53" s="109" t="s">
        <v>244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119">
        <v>0</v>
      </c>
      <c r="O53" s="119">
        <v>0</v>
      </c>
      <c r="P53" s="119">
        <v>0</v>
      </c>
    </row>
    <row r="54" spans="2:16">
      <c r="B54" s="109" t="s">
        <v>160</v>
      </c>
      <c r="C54" s="109" t="s">
        <v>235</v>
      </c>
      <c r="D54" s="119">
        <v>12444.9</v>
      </c>
      <c r="E54" s="119">
        <v>27670.2</v>
      </c>
      <c r="F54" s="119">
        <v>26575.7</v>
      </c>
      <c r="G54" s="119">
        <v>32372.1</v>
      </c>
      <c r="H54" s="119">
        <v>46810.1</v>
      </c>
      <c r="I54" s="119">
        <v>30606.2</v>
      </c>
      <c r="J54" s="119">
        <v>38654</v>
      </c>
      <c r="K54" s="119">
        <v>48332.5</v>
      </c>
      <c r="L54" s="119">
        <v>29873.4</v>
      </c>
      <c r="M54" s="119">
        <v>92635.5</v>
      </c>
      <c r="N54" s="119">
        <v>60556.800000000003</v>
      </c>
      <c r="O54" s="119">
        <v>39185.699999999997</v>
      </c>
      <c r="P54" s="119">
        <v>36573.1</v>
      </c>
    </row>
    <row r="55" spans="2:16">
      <c r="B55" s="109" t="s">
        <v>160</v>
      </c>
      <c r="C55" s="109" t="s">
        <v>26</v>
      </c>
      <c r="D55" s="119">
        <v>11889.1</v>
      </c>
      <c r="E55" s="119">
        <v>15256.9</v>
      </c>
      <c r="F55" s="119">
        <v>17125.2</v>
      </c>
      <c r="G55" s="119">
        <v>19882</v>
      </c>
      <c r="H55" s="119">
        <v>21088.9</v>
      </c>
      <c r="I55" s="119">
        <v>25077.200000000001</v>
      </c>
      <c r="J55" s="119">
        <v>23471.9</v>
      </c>
      <c r="K55" s="119">
        <v>32343</v>
      </c>
      <c r="L55" s="119">
        <v>31257.5</v>
      </c>
      <c r="M55" s="119">
        <v>28594.2</v>
      </c>
      <c r="N55" s="119">
        <v>29853.7</v>
      </c>
      <c r="O55" s="119">
        <v>20218.599999999999</v>
      </c>
      <c r="P55" s="119">
        <v>14965.8</v>
      </c>
    </row>
    <row r="56" spans="2:16">
      <c r="B56" s="109" t="s">
        <v>160</v>
      </c>
      <c r="C56" s="109" t="s">
        <v>241</v>
      </c>
      <c r="D56" s="119">
        <v>0</v>
      </c>
      <c r="E56" s="119">
        <v>0</v>
      </c>
      <c r="F56" s="119">
        <v>0</v>
      </c>
      <c r="G56" s="119">
        <v>0.8</v>
      </c>
      <c r="H56" s="119">
        <v>0</v>
      </c>
      <c r="I56" s="119">
        <v>351.5</v>
      </c>
      <c r="J56" s="119">
        <v>1088.5</v>
      </c>
      <c r="K56" s="119">
        <v>1137.0999999999999</v>
      </c>
      <c r="L56" s="119">
        <v>232.7</v>
      </c>
      <c r="M56" s="119">
        <v>463.1</v>
      </c>
      <c r="N56" s="119">
        <v>1006.6</v>
      </c>
      <c r="O56" s="119">
        <v>667</v>
      </c>
      <c r="P56" s="119">
        <v>259.5</v>
      </c>
    </row>
    <row r="57" spans="2:16">
      <c r="B57" s="109" t="s">
        <v>160</v>
      </c>
      <c r="C57" s="109" t="s">
        <v>236</v>
      </c>
      <c r="D57" s="119">
        <v>63369.7</v>
      </c>
      <c r="E57" s="119">
        <v>30546.6</v>
      </c>
      <c r="F57" s="119">
        <v>22647.3</v>
      </c>
      <c r="G57" s="119">
        <v>39268.199999999997</v>
      </c>
      <c r="H57" s="119">
        <v>44806.400000000001</v>
      </c>
      <c r="I57" s="119">
        <v>27192.1</v>
      </c>
      <c r="J57" s="119">
        <v>28952.2</v>
      </c>
      <c r="K57" s="119">
        <v>21197.200000000001</v>
      </c>
      <c r="L57" s="119">
        <v>29718.6</v>
      </c>
      <c r="M57" s="119">
        <v>59071.9</v>
      </c>
      <c r="N57" s="119">
        <v>69541.7</v>
      </c>
      <c r="O57" s="119">
        <v>58045.1</v>
      </c>
      <c r="P57" s="119">
        <v>26811.1</v>
      </c>
    </row>
    <row r="58" spans="2:16">
      <c r="B58" s="109" t="s">
        <v>160</v>
      </c>
      <c r="C58" s="109" t="s">
        <v>245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</row>
    <row r="59" spans="2:16">
      <c r="B59" s="109" t="s">
        <v>160</v>
      </c>
      <c r="C59" s="109" t="s">
        <v>238</v>
      </c>
      <c r="D59" s="119">
        <v>10841.6</v>
      </c>
      <c r="E59" s="119">
        <v>4860.6000000000004</v>
      </c>
      <c r="F59" s="119">
        <v>4001.3</v>
      </c>
      <c r="G59" s="119">
        <v>8039.4</v>
      </c>
      <c r="H59" s="119">
        <v>3126.2</v>
      </c>
      <c r="I59" s="119">
        <v>4972</v>
      </c>
      <c r="J59" s="119">
        <v>12138.1</v>
      </c>
      <c r="K59" s="119">
        <v>3426.7</v>
      </c>
      <c r="L59" s="119">
        <v>2813.5</v>
      </c>
      <c r="M59" s="119">
        <v>13978.3</v>
      </c>
      <c r="N59" s="119">
        <v>24572.7</v>
      </c>
      <c r="O59" s="119">
        <v>10784.5</v>
      </c>
      <c r="P59" s="119">
        <v>4780.8999999999996</v>
      </c>
    </row>
    <row r="60" spans="2:16">
      <c r="B60" s="109" t="s">
        <v>160</v>
      </c>
      <c r="C60" s="109" t="s">
        <v>246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119">
        <v>0</v>
      </c>
      <c r="K60" s="119">
        <v>0</v>
      </c>
      <c r="L60" s="119">
        <v>0</v>
      </c>
      <c r="M60" s="119">
        <v>0</v>
      </c>
      <c r="N60" s="119">
        <v>0</v>
      </c>
      <c r="O60" s="119">
        <v>0</v>
      </c>
      <c r="P60" s="119">
        <v>0</v>
      </c>
    </row>
    <row r="61" spans="2:16">
      <c r="B61" s="109" t="s">
        <v>160</v>
      </c>
      <c r="C61" s="109" t="s">
        <v>22</v>
      </c>
      <c r="D61" s="119">
        <v>24843.5</v>
      </c>
      <c r="E61" s="119">
        <v>13133.6</v>
      </c>
      <c r="F61" s="119">
        <v>9478.7999999999993</v>
      </c>
      <c r="G61" s="119">
        <v>14094.1</v>
      </c>
      <c r="H61" s="119">
        <v>8427.2000000000007</v>
      </c>
      <c r="I61" s="119">
        <v>25903.4</v>
      </c>
      <c r="J61" s="119">
        <v>20858.900000000001</v>
      </c>
      <c r="K61" s="119">
        <v>25403.7</v>
      </c>
      <c r="L61" s="119">
        <v>48230.3</v>
      </c>
      <c r="M61" s="119">
        <v>19654.8</v>
      </c>
      <c r="N61" s="119">
        <v>29936.2</v>
      </c>
      <c r="O61" s="119">
        <v>30176.3</v>
      </c>
      <c r="P61" s="119">
        <v>9611.2999999999993</v>
      </c>
    </row>
    <row r="62" spans="2:16">
      <c r="B62" s="109" t="s">
        <v>160</v>
      </c>
      <c r="C62" s="109" t="s">
        <v>247</v>
      </c>
      <c r="D62" s="119">
        <v>0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</row>
    <row r="63" spans="2:16">
      <c r="B63" s="109" t="s">
        <v>160</v>
      </c>
      <c r="C63" s="109" t="s">
        <v>234</v>
      </c>
      <c r="D63" s="119">
        <v>260</v>
      </c>
      <c r="E63" s="119">
        <v>35</v>
      </c>
      <c r="F63" s="119">
        <v>0</v>
      </c>
      <c r="G63" s="119">
        <v>0</v>
      </c>
      <c r="H63" s="119">
        <v>0</v>
      </c>
      <c r="I63" s="119">
        <v>171.9</v>
      </c>
      <c r="J63" s="119">
        <v>0</v>
      </c>
      <c r="K63" s="119">
        <v>222</v>
      </c>
      <c r="L63" s="119">
        <v>0</v>
      </c>
      <c r="M63" s="119">
        <v>0</v>
      </c>
      <c r="N63" s="119">
        <v>30</v>
      </c>
      <c r="O63" s="119">
        <v>635.29999999999995</v>
      </c>
      <c r="P63" s="119">
        <v>138</v>
      </c>
    </row>
    <row r="64" spans="2:16">
      <c r="B64" s="109" t="s">
        <v>160</v>
      </c>
      <c r="C64" s="109" t="s">
        <v>248</v>
      </c>
      <c r="D64" s="119">
        <v>0</v>
      </c>
      <c r="E64" s="119">
        <v>0</v>
      </c>
      <c r="F64" s="119">
        <v>0</v>
      </c>
      <c r="G64" s="119">
        <v>0</v>
      </c>
      <c r="H64" s="119">
        <v>0</v>
      </c>
      <c r="I64" s="119">
        <v>0</v>
      </c>
      <c r="J64" s="119">
        <v>0</v>
      </c>
      <c r="K64" s="119">
        <v>0</v>
      </c>
      <c r="L64" s="119">
        <v>0</v>
      </c>
      <c r="M64" s="119">
        <v>0</v>
      </c>
      <c r="N64" s="119">
        <v>0</v>
      </c>
      <c r="O64" s="119">
        <v>0</v>
      </c>
      <c r="P64" s="119">
        <v>0</v>
      </c>
    </row>
    <row r="65" spans="2:16">
      <c r="B65" s="109" t="s">
        <v>160</v>
      </c>
      <c r="C65" s="109" t="s">
        <v>249</v>
      </c>
      <c r="D65" s="119">
        <v>0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0</v>
      </c>
      <c r="P65" s="119">
        <v>0</v>
      </c>
    </row>
    <row r="66" spans="2:16">
      <c r="B66" s="109" t="s">
        <v>160</v>
      </c>
      <c r="C66" s="109" t="s">
        <v>239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</row>
    <row r="67" spans="2:16">
      <c r="B67" s="109" t="s">
        <v>160</v>
      </c>
      <c r="C67" s="109" t="s">
        <v>240</v>
      </c>
      <c r="D67" s="119">
        <v>0</v>
      </c>
      <c r="E67" s="119">
        <v>0</v>
      </c>
      <c r="F67" s="119">
        <v>0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0</v>
      </c>
      <c r="N67" s="119">
        <v>0</v>
      </c>
      <c r="O67" s="119">
        <v>0</v>
      </c>
      <c r="P67" s="119">
        <v>0</v>
      </c>
    </row>
    <row r="68" spans="2:16">
      <c r="B68" s="109" t="s">
        <v>160</v>
      </c>
      <c r="C68" s="109" t="s">
        <v>237</v>
      </c>
      <c r="D68" s="119">
        <v>6935.7</v>
      </c>
      <c r="E68" s="119">
        <v>583.9</v>
      </c>
      <c r="F68" s="119">
        <v>608.4</v>
      </c>
      <c r="G68" s="119">
        <v>2953</v>
      </c>
      <c r="H68" s="119">
        <v>5288</v>
      </c>
      <c r="I68" s="119">
        <v>4234.3999999999996</v>
      </c>
      <c r="J68" s="119">
        <v>1910.4</v>
      </c>
      <c r="K68" s="119">
        <v>6361.9</v>
      </c>
      <c r="L68" s="119">
        <v>3337.1</v>
      </c>
      <c r="M68" s="119">
        <v>9063.5</v>
      </c>
      <c r="N68" s="119">
        <v>14315.8</v>
      </c>
      <c r="O68" s="119">
        <v>9263.7000000000007</v>
      </c>
      <c r="P68" s="119">
        <v>3683.8</v>
      </c>
    </row>
    <row r="69" spans="2:16">
      <c r="B69" s="162" t="s">
        <v>160</v>
      </c>
      <c r="C69" s="146" t="s">
        <v>0</v>
      </c>
      <c r="D69" s="122">
        <v>130584.5</v>
      </c>
      <c r="E69" s="122">
        <v>92086.8</v>
      </c>
      <c r="F69" s="122">
        <v>80436.7</v>
      </c>
      <c r="G69" s="122">
        <v>116609.60000000001</v>
      </c>
      <c r="H69" s="122">
        <v>129546.8</v>
      </c>
      <c r="I69" s="122">
        <v>118508.7</v>
      </c>
      <c r="J69" s="122">
        <v>127074</v>
      </c>
      <c r="K69" s="122">
        <v>138424.1</v>
      </c>
      <c r="L69" s="122">
        <v>145463.1</v>
      </c>
      <c r="M69" s="122">
        <v>223461.3</v>
      </c>
      <c r="N69" s="122">
        <v>229813.5</v>
      </c>
      <c r="O69" s="122">
        <v>168976.2</v>
      </c>
      <c r="P69" s="122">
        <v>96823.5</v>
      </c>
    </row>
    <row r="70" spans="2:16">
      <c r="B70" s="200" t="s">
        <v>141</v>
      </c>
      <c r="C70" s="146"/>
      <c r="D70" s="176">
        <v>38.0888409784</v>
      </c>
      <c r="E70" s="176">
        <v>46.215583904200003</v>
      </c>
      <c r="F70" s="176">
        <v>46.918287322099999</v>
      </c>
      <c r="G70" s="176">
        <v>46.1267665349</v>
      </c>
      <c r="H70" s="176">
        <v>49.102792214099999</v>
      </c>
      <c r="I70" s="176">
        <v>59.519913470200002</v>
      </c>
      <c r="J70" s="176">
        <v>67.237482616999998</v>
      </c>
      <c r="K70" s="176">
        <v>69.353032254200002</v>
      </c>
      <c r="L70" s="176">
        <v>86.022068378100002</v>
      </c>
      <c r="M70" s="176">
        <v>68.272500196199999</v>
      </c>
      <c r="N70" s="176">
        <v>53.459637766</v>
      </c>
      <c r="O70" s="176">
        <v>51.962276409700003</v>
      </c>
      <c r="P70" s="176">
        <v>54.692289017699999</v>
      </c>
    </row>
    <row r="71" spans="2:16" ht="15" customHeight="1">
      <c r="B71" s="201"/>
      <c r="C71" s="147"/>
      <c r="D71" s="177">
        <v>5.2265654805999997</v>
      </c>
      <c r="E71" s="177">
        <v>17.557231438199999</v>
      </c>
      <c r="F71" s="177">
        <v>26.8690120306</v>
      </c>
      <c r="G71" s="177">
        <v>23.897432801400001</v>
      </c>
      <c r="H71" s="177">
        <v>26.829993639400001</v>
      </c>
      <c r="I71" s="177">
        <v>38.168603739600002</v>
      </c>
      <c r="J71" s="177">
        <v>34.907456206600003</v>
      </c>
      <c r="K71" s="177">
        <v>40.305706087300003</v>
      </c>
      <c r="L71" s="177">
        <v>51.364834243200001</v>
      </c>
      <c r="M71" s="177">
        <v>28.525761104899999</v>
      </c>
      <c r="N71" s="177">
        <v>19.292700864</v>
      </c>
      <c r="O71" s="177">
        <v>26.8904340375</v>
      </c>
      <c r="P71" s="177">
        <v>30.571421091000001</v>
      </c>
    </row>
    <row r="72" spans="2:16"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</row>
    <row r="73" spans="2:16"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09"/>
      <c r="O73" s="116"/>
      <c r="P73" s="109" t="s">
        <v>86</v>
      </c>
    </row>
    <row r="74" spans="2:16"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09" t="s">
        <v>70</v>
      </c>
      <c r="O74" s="116"/>
      <c r="P74" s="174">
        <f>(P52-D52)/D52</f>
        <v>-2.1222950408169763E-2</v>
      </c>
    </row>
    <row r="75" spans="2:16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09" t="s">
        <v>69</v>
      </c>
      <c r="O75" s="116"/>
      <c r="P75" s="174">
        <f>(P69-D69)/D69</f>
        <v>-0.25853757528650029</v>
      </c>
    </row>
    <row r="76" spans="2:16"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09" t="s">
        <v>75</v>
      </c>
      <c r="O76" s="116"/>
      <c r="P76" s="174">
        <f>((P52+P69)-(D52+D69))/(D52+D69)</f>
        <v>-0.10864711733604317</v>
      </c>
    </row>
    <row r="77" spans="2:16"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09" t="s">
        <v>71</v>
      </c>
      <c r="O77" s="116"/>
      <c r="P77" s="174">
        <f>(P70-D70)/D70</f>
        <v>0.4359137115439069</v>
      </c>
    </row>
    <row r="78" spans="2:16"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09" t="s">
        <v>72</v>
      </c>
      <c r="O78" s="116"/>
      <c r="P78" s="174">
        <f>(P71-D71)/D71</f>
        <v>4.8492371719966405</v>
      </c>
    </row>
    <row r="80" spans="2:16">
      <c r="B80" s="106" t="s">
        <v>153</v>
      </c>
    </row>
    <row r="81" spans="2:16">
      <c r="B81" s="108"/>
      <c r="C81" s="108" t="s">
        <v>32</v>
      </c>
      <c r="D81" s="108" t="s">
        <v>132</v>
      </c>
      <c r="E81" s="108" t="s">
        <v>132</v>
      </c>
      <c r="F81" s="108" t="s">
        <v>132</v>
      </c>
      <c r="G81" s="108" t="s">
        <v>132</v>
      </c>
      <c r="H81" s="108" t="s">
        <v>132</v>
      </c>
      <c r="I81" s="108" t="s">
        <v>132</v>
      </c>
      <c r="J81" s="108" t="s">
        <v>132</v>
      </c>
      <c r="K81" s="108" t="s">
        <v>132</v>
      </c>
      <c r="L81" s="108" t="s">
        <v>132</v>
      </c>
      <c r="M81" s="108" t="s">
        <v>132</v>
      </c>
      <c r="N81" s="108" t="s">
        <v>132</v>
      </c>
      <c r="O81" s="108" t="s">
        <v>132</v>
      </c>
      <c r="P81" s="108" t="s">
        <v>132</v>
      </c>
    </row>
    <row r="82" spans="2:16">
      <c r="B82" s="108"/>
      <c r="C82" s="108" t="s">
        <v>121</v>
      </c>
      <c r="D82" s="108" t="s">
        <v>208</v>
      </c>
      <c r="E82" s="108" t="s">
        <v>209</v>
      </c>
      <c r="F82" s="108" t="s">
        <v>210</v>
      </c>
      <c r="G82" s="108" t="s">
        <v>211</v>
      </c>
      <c r="H82" s="108" t="s">
        <v>212</v>
      </c>
      <c r="I82" s="108" t="s">
        <v>213</v>
      </c>
      <c r="J82" s="108" t="s">
        <v>214</v>
      </c>
      <c r="K82" s="108" t="s">
        <v>103</v>
      </c>
      <c r="L82" s="108" t="s">
        <v>215</v>
      </c>
      <c r="M82" s="108" t="s">
        <v>216</v>
      </c>
      <c r="N82" s="108" t="s">
        <v>217</v>
      </c>
      <c r="O82" s="108" t="s">
        <v>218</v>
      </c>
      <c r="P82" s="108" t="s">
        <v>219</v>
      </c>
    </row>
    <row r="83" spans="2:16">
      <c r="B83" s="108" t="s">
        <v>125</v>
      </c>
      <c r="C83" s="108" t="s">
        <v>126</v>
      </c>
      <c r="D83" s="108" t="s">
        <v>7</v>
      </c>
      <c r="E83" s="108" t="s">
        <v>9</v>
      </c>
      <c r="F83" s="108" t="s">
        <v>9</v>
      </c>
      <c r="G83" s="108" t="s">
        <v>8</v>
      </c>
      <c r="H83" s="108" t="s">
        <v>10</v>
      </c>
      <c r="I83" s="108" t="s">
        <v>11</v>
      </c>
      <c r="J83" s="108" t="s">
        <v>12</v>
      </c>
      <c r="K83" s="108" t="s">
        <v>13</v>
      </c>
      <c r="L83" s="108" t="s">
        <v>5</v>
      </c>
      <c r="M83" s="108" t="s">
        <v>6</v>
      </c>
      <c r="N83" s="108" t="s">
        <v>7</v>
      </c>
      <c r="O83" s="108" t="s">
        <v>8</v>
      </c>
      <c r="P83" s="108" t="s">
        <v>7</v>
      </c>
    </row>
    <row r="84" spans="2:16">
      <c r="B84" s="109" t="s">
        <v>159</v>
      </c>
      <c r="C84" s="109" t="s">
        <v>235</v>
      </c>
      <c r="D84" s="119">
        <v>18542.900000000001</v>
      </c>
      <c r="E84" s="119">
        <v>32003.200000000001</v>
      </c>
      <c r="F84" s="119">
        <v>51324.2</v>
      </c>
      <c r="G84" s="119">
        <v>19608</v>
      </c>
      <c r="H84" s="119">
        <v>51777.2</v>
      </c>
      <c r="I84" s="119">
        <v>16527.099999999999</v>
      </c>
      <c r="J84" s="119">
        <v>27911.599999999999</v>
      </c>
      <c r="K84" s="119">
        <v>14759.8</v>
      </c>
      <c r="L84" s="119">
        <v>27333.200000000001</v>
      </c>
      <c r="M84" s="119">
        <v>11782.3</v>
      </c>
      <c r="N84" s="119">
        <v>10392.299999999999</v>
      </c>
      <c r="O84" s="119">
        <v>11417.3</v>
      </c>
      <c r="P84" s="119">
        <v>14921.9</v>
      </c>
    </row>
    <row r="85" spans="2:16">
      <c r="B85" s="109" t="s">
        <v>159</v>
      </c>
      <c r="C85" s="109" t="s">
        <v>26</v>
      </c>
      <c r="D85" s="119">
        <v>12194.7</v>
      </c>
      <c r="E85" s="119">
        <v>25715</v>
      </c>
      <c r="F85" s="119">
        <v>59857.5</v>
      </c>
      <c r="G85" s="119">
        <v>34074</v>
      </c>
      <c r="H85" s="119">
        <v>60003.199999999997</v>
      </c>
      <c r="I85" s="119">
        <v>30870.5</v>
      </c>
      <c r="J85" s="119">
        <v>59353</v>
      </c>
      <c r="K85" s="119">
        <v>21112.2</v>
      </c>
      <c r="L85" s="119">
        <v>50390.400000000001</v>
      </c>
      <c r="M85" s="119">
        <v>9297.4</v>
      </c>
      <c r="N85" s="119">
        <v>9024.7999999999993</v>
      </c>
      <c r="O85" s="119">
        <v>11177.4</v>
      </c>
      <c r="P85" s="119">
        <v>12578.5</v>
      </c>
    </row>
    <row r="86" spans="2:16">
      <c r="B86" s="109" t="s">
        <v>159</v>
      </c>
      <c r="C86" s="109" t="s">
        <v>241</v>
      </c>
      <c r="D86" s="119">
        <v>0</v>
      </c>
      <c r="E86" s="119">
        <v>0</v>
      </c>
      <c r="F86" s="119">
        <v>0</v>
      </c>
      <c r="G86" s="119">
        <v>0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9">
        <v>0</v>
      </c>
      <c r="N86" s="119">
        <v>0</v>
      </c>
      <c r="O86" s="119">
        <v>1</v>
      </c>
      <c r="P86" s="119">
        <v>0</v>
      </c>
    </row>
    <row r="87" spans="2:16">
      <c r="B87" s="109" t="s">
        <v>159</v>
      </c>
      <c r="C87" s="109" t="s">
        <v>236</v>
      </c>
      <c r="D87" s="119">
        <v>3802.8</v>
      </c>
      <c r="E87" s="119">
        <v>1834</v>
      </c>
      <c r="F87" s="119">
        <v>381.3</v>
      </c>
      <c r="G87" s="119">
        <v>154.80000000000001</v>
      </c>
      <c r="H87" s="119">
        <v>418.8</v>
      </c>
      <c r="I87" s="119">
        <v>2014.8</v>
      </c>
      <c r="J87" s="119">
        <v>2603.5</v>
      </c>
      <c r="K87" s="119">
        <v>2054.9</v>
      </c>
      <c r="L87" s="119">
        <v>1420.1</v>
      </c>
      <c r="M87" s="119">
        <v>2429.3000000000002</v>
      </c>
      <c r="N87" s="119">
        <v>1213</v>
      </c>
      <c r="O87" s="119">
        <v>2298.6999999999998</v>
      </c>
      <c r="P87" s="119">
        <v>1623.5</v>
      </c>
    </row>
    <row r="88" spans="2:16">
      <c r="B88" s="109" t="s">
        <v>159</v>
      </c>
      <c r="C88" s="109" t="s">
        <v>238</v>
      </c>
      <c r="D88" s="119">
        <v>29.4</v>
      </c>
      <c r="E88" s="119">
        <v>309.7</v>
      </c>
      <c r="F88" s="119">
        <v>830.5</v>
      </c>
      <c r="G88" s="119">
        <v>407.6</v>
      </c>
      <c r="H88" s="119">
        <v>585.4</v>
      </c>
      <c r="I88" s="119">
        <v>341.7</v>
      </c>
      <c r="J88" s="119">
        <v>562.79999999999995</v>
      </c>
      <c r="K88" s="119">
        <v>290</v>
      </c>
      <c r="L88" s="119">
        <v>796.7</v>
      </c>
      <c r="M88" s="119">
        <v>37.700000000000003</v>
      </c>
      <c r="N88" s="119">
        <v>83.9</v>
      </c>
      <c r="O88" s="119">
        <v>146.30000000000001</v>
      </c>
      <c r="P88" s="119">
        <v>791</v>
      </c>
    </row>
    <row r="89" spans="2:16">
      <c r="B89" s="109" t="s">
        <v>159</v>
      </c>
      <c r="C89" s="109" t="s">
        <v>22</v>
      </c>
      <c r="D89" s="119">
        <v>10110.1</v>
      </c>
      <c r="E89" s="119">
        <v>15345.5</v>
      </c>
      <c r="F89" s="119">
        <v>22884.7</v>
      </c>
      <c r="G89" s="119">
        <v>13164.8</v>
      </c>
      <c r="H89" s="119">
        <v>30624.400000000001</v>
      </c>
      <c r="I89" s="119">
        <v>14982.5</v>
      </c>
      <c r="J89" s="119">
        <v>23494.9</v>
      </c>
      <c r="K89" s="119">
        <v>9517.7000000000007</v>
      </c>
      <c r="L89" s="119">
        <v>48799.7</v>
      </c>
      <c r="M89" s="119">
        <v>5011.6000000000004</v>
      </c>
      <c r="N89" s="119">
        <v>15815.6</v>
      </c>
      <c r="O89" s="119">
        <v>6448.1</v>
      </c>
      <c r="P89" s="119">
        <v>6148.7</v>
      </c>
    </row>
    <row r="90" spans="2:16">
      <c r="B90" s="109" t="s">
        <v>159</v>
      </c>
      <c r="C90" s="109" t="s">
        <v>234</v>
      </c>
      <c r="D90" s="119">
        <v>0</v>
      </c>
      <c r="E90" s="119">
        <v>404.7</v>
      </c>
      <c r="F90" s="119">
        <v>0</v>
      </c>
      <c r="G90" s="119">
        <v>150</v>
      </c>
      <c r="H90" s="119">
        <v>0</v>
      </c>
      <c r="I90" s="119">
        <v>0</v>
      </c>
      <c r="J90" s="119">
        <v>0</v>
      </c>
      <c r="K90" s="119">
        <v>60</v>
      </c>
      <c r="L90" s="119">
        <v>0</v>
      </c>
      <c r="M90" s="119">
        <v>0</v>
      </c>
      <c r="N90" s="119">
        <v>0</v>
      </c>
      <c r="O90" s="119">
        <v>105</v>
      </c>
      <c r="P90" s="119">
        <v>0</v>
      </c>
    </row>
    <row r="91" spans="2:16">
      <c r="B91" s="109" t="s">
        <v>159</v>
      </c>
      <c r="C91" s="109" t="s">
        <v>237</v>
      </c>
      <c r="D91" s="119">
        <v>15019.5</v>
      </c>
      <c r="E91" s="119">
        <v>3667.5</v>
      </c>
      <c r="F91" s="119">
        <v>5850</v>
      </c>
      <c r="G91" s="119">
        <v>4538.1000000000004</v>
      </c>
      <c r="H91" s="119">
        <v>11791</v>
      </c>
      <c r="I91" s="119">
        <v>6233.4</v>
      </c>
      <c r="J91" s="119">
        <v>15319.9</v>
      </c>
      <c r="K91" s="119">
        <v>10705.2</v>
      </c>
      <c r="L91" s="119">
        <v>22768.5</v>
      </c>
      <c r="M91" s="119">
        <v>3301.6</v>
      </c>
      <c r="N91" s="119">
        <v>5970.4</v>
      </c>
      <c r="O91" s="119">
        <v>1824.9</v>
      </c>
      <c r="P91" s="119">
        <v>5041.6000000000004</v>
      </c>
    </row>
    <row r="92" spans="2:16">
      <c r="B92" s="109" t="s">
        <v>159</v>
      </c>
      <c r="C92" s="120" t="s">
        <v>0</v>
      </c>
      <c r="D92" s="121">
        <v>59699.4</v>
      </c>
      <c r="E92" s="121">
        <v>79279.600000000006</v>
      </c>
      <c r="F92" s="121">
        <v>141128.20000000001</v>
      </c>
      <c r="G92" s="121">
        <v>72097.3</v>
      </c>
      <c r="H92" s="121">
        <v>155200</v>
      </c>
      <c r="I92" s="121">
        <v>70970</v>
      </c>
      <c r="J92" s="121">
        <v>129245.7</v>
      </c>
      <c r="K92" s="121">
        <v>58499.8</v>
      </c>
      <c r="L92" s="121">
        <v>151508.6</v>
      </c>
      <c r="M92" s="121">
        <v>31859.9</v>
      </c>
      <c r="N92" s="121">
        <v>42500</v>
      </c>
      <c r="O92" s="121">
        <v>33418.699999999997</v>
      </c>
      <c r="P92" s="121">
        <v>41105.199999999997</v>
      </c>
    </row>
    <row r="93" spans="2:16">
      <c r="B93" s="109" t="s">
        <v>160</v>
      </c>
      <c r="C93" s="109" t="s">
        <v>235</v>
      </c>
      <c r="D93" s="119">
        <v>2502.1</v>
      </c>
      <c r="E93" s="119">
        <v>9826.2999999999993</v>
      </c>
      <c r="F93" s="119">
        <v>16804.900000000001</v>
      </c>
      <c r="G93" s="119">
        <v>20254.099999999999</v>
      </c>
      <c r="H93" s="119">
        <v>28176.400000000001</v>
      </c>
      <c r="I93" s="119">
        <v>10892.6</v>
      </c>
      <c r="J93" s="119">
        <v>5563.5</v>
      </c>
      <c r="K93" s="119">
        <v>12581.1</v>
      </c>
      <c r="L93" s="119">
        <v>7306.9</v>
      </c>
      <c r="M93" s="119">
        <v>50376</v>
      </c>
      <c r="N93" s="119">
        <v>46429</v>
      </c>
      <c r="O93" s="119">
        <v>17956.2</v>
      </c>
      <c r="P93" s="119">
        <v>6283.8</v>
      </c>
    </row>
    <row r="94" spans="2:16">
      <c r="B94" s="109" t="s">
        <v>160</v>
      </c>
      <c r="C94" s="109" t="s">
        <v>26</v>
      </c>
      <c r="D94" s="119">
        <v>1126</v>
      </c>
      <c r="E94" s="119">
        <v>3497.3</v>
      </c>
      <c r="F94" s="119">
        <v>9200.1</v>
      </c>
      <c r="G94" s="119">
        <v>4502.5</v>
      </c>
      <c r="H94" s="119">
        <v>12664.3</v>
      </c>
      <c r="I94" s="119">
        <v>9459.2999999999993</v>
      </c>
      <c r="J94" s="119">
        <v>5060.2</v>
      </c>
      <c r="K94" s="119">
        <v>13203.9</v>
      </c>
      <c r="L94" s="119">
        <v>11559.1</v>
      </c>
      <c r="M94" s="119">
        <v>18600.8</v>
      </c>
      <c r="N94" s="119">
        <v>22875.8</v>
      </c>
      <c r="O94" s="119">
        <v>12815.5</v>
      </c>
      <c r="P94" s="119">
        <v>4145.3</v>
      </c>
    </row>
    <row r="95" spans="2:16">
      <c r="B95" s="109" t="s">
        <v>160</v>
      </c>
      <c r="C95" s="109" t="s">
        <v>241</v>
      </c>
      <c r="D95" s="119">
        <v>0</v>
      </c>
      <c r="E95" s="119">
        <v>0</v>
      </c>
      <c r="F95" s="119">
        <v>0</v>
      </c>
      <c r="G95" s="119">
        <v>0</v>
      </c>
      <c r="H95" s="119">
        <v>0</v>
      </c>
      <c r="I95" s="119">
        <v>19</v>
      </c>
      <c r="J95" s="119">
        <v>113</v>
      </c>
      <c r="K95" s="119">
        <v>233</v>
      </c>
      <c r="L95" s="119">
        <v>88</v>
      </c>
      <c r="M95" s="119">
        <v>92.8</v>
      </c>
      <c r="N95" s="119">
        <v>230</v>
      </c>
      <c r="O95" s="119">
        <v>103.4</v>
      </c>
      <c r="P95" s="119">
        <v>18.899999999999999</v>
      </c>
    </row>
    <row r="96" spans="2:16">
      <c r="B96" s="109" t="s">
        <v>160</v>
      </c>
      <c r="C96" s="109" t="s">
        <v>236</v>
      </c>
      <c r="D96" s="119">
        <v>10105.799999999999</v>
      </c>
      <c r="E96" s="119">
        <v>8231.5</v>
      </c>
      <c r="F96" s="119">
        <v>4654.1000000000004</v>
      </c>
      <c r="G96" s="119">
        <v>14825.7</v>
      </c>
      <c r="H96" s="119">
        <v>15166.3</v>
      </c>
      <c r="I96" s="119">
        <v>7585</v>
      </c>
      <c r="J96" s="119">
        <v>7129.2</v>
      </c>
      <c r="K96" s="119">
        <v>6261.8</v>
      </c>
      <c r="L96" s="119">
        <v>7999</v>
      </c>
      <c r="M96" s="119">
        <v>18257.2</v>
      </c>
      <c r="N96" s="119">
        <v>26858.5</v>
      </c>
      <c r="O96" s="119">
        <v>12162.2</v>
      </c>
      <c r="P96" s="119">
        <v>7977.8</v>
      </c>
    </row>
    <row r="97" spans="2:16">
      <c r="B97" s="109" t="s">
        <v>160</v>
      </c>
      <c r="C97" s="109" t="s">
        <v>238</v>
      </c>
      <c r="D97" s="119">
        <v>176.9</v>
      </c>
      <c r="E97" s="119">
        <v>242</v>
      </c>
      <c r="F97" s="119">
        <v>369.5</v>
      </c>
      <c r="G97" s="119">
        <v>422.9</v>
      </c>
      <c r="H97" s="119">
        <v>462.1</v>
      </c>
      <c r="I97" s="119">
        <v>201.8</v>
      </c>
      <c r="J97" s="119">
        <v>169.4</v>
      </c>
      <c r="K97" s="119">
        <v>220.5</v>
      </c>
      <c r="L97" s="119">
        <v>402.8</v>
      </c>
      <c r="M97" s="119">
        <v>867.9</v>
      </c>
      <c r="N97" s="119">
        <v>1566</v>
      </c>
      <c r="O97" s="119">
        <v>688.3</v>
      </c>
      <c r="P97" s="119">
        <v>313</v>
      </c>
    </row>
    <row r="98" spans="2:16">
      <c r="B98" s="109" t="s">
        <v>160</v>
      </c>
      <c r="C98" s="109" t="s">
        <v>22</v>
      </c>
      <c r="D98" s="119">
        <v>4467.7</v>
      </c>
      <c r="E98" s="119">
        <v>3677.4</v>
      </c>
      <c r="F98" s="119">
        <v>7625.8</v>
      </c>
      <c r="G98" s="119">
        <v>13215.2</v>
      </c>
      <c r="H98" s="119">
        <v>8996.5</v>
      </c>
      <c r="I98" s="119">
        <v>8745.2999999999993</v>
      </c>
      <c r="J98" s="119">
        <v>3964.2</v>
      </c>
      <c r="K98" s="119">
        <v>5846.4</v>
      </c>
      <c r="L98" s="119">
        <v>17797.7</v>
      </c>
      <c r="M98" s="119">
        <v>17793.5</v>
      </c>
      <c r="N98" s="119">
        <v>20878.900000000001</v>
      </c>
      <c r="O98" s="119">
        <v>19850.2</v>
      </c>
      <c r="P98" s="119">
        <v>4389.8</v>
      </c>
    </row>
    <row r="99" spans="2:16">
      <c r="B99" s="109" t="s">
        <v>160</v>
      </c>
      <c r="C99" s="109" t="s">
        <v>234</v>
      </c>
      <c r="D99" s="119">
        <v>0</v>
      </c>
      <c r="E99" s="119">
        <v>0</v>
      </c>
      <c r="F99" s="119">
        <v>0</v>
      </c>
      <c r="G99" s="119">
        <v>0</v>
      </c>
      <c r="H99" s="119">
        <v>0</v>
      </c>
      <c r="I99" s="119">
        <v>0</v>
      </c>
      <c r="J99" s="119">
        <v>0</v>
      </c>
      <c r="K99" s="119">
        <v>125</v>
      </c>
      <c r="L99" s="119">
        <v>0</v>
      </c>
      <c r="M99" s="119">
        <v>0</v>
      </c>
      <c r="N99" s="119">
        <v>0</v>
      </c>
      <c r="O99" s="119">
        <v>66</v>
      </c>
      <c r="P99" s="119">
        <v>0</v>
      </c>
    </row>
    <row r="100" spans="2:16">
      <c r="B100" s="109" t="s">
        <v>160</v>
      </c>
      <c r="C100" s="109" t="s">
        <v>237</v>
      </c>
      <c r="D100" s="119">
        <v>1975.3</v>
      </c>
      <c r="E100" s="119">
        <v>129.80000000000001</v>
      </c>
      <c r="F100" s="119">
        <v>107.2</v>
      </c>
      <c r="G100" s="119">
        <v>462.9</v>
      </c>
      <c r="H100" s="119">
        <v>3124.7</v>
      </c>
      <c r="I100" s="119">
        <v>691.6</v>
      </c>
      <c r="J100" s="119">
        <v>709</v>
      </c>
      <c r="K100" s="119">
        <v>1688.7</v>
      </c>
      <c r="L100" s="119">
        <v>1941.3</v>
      </c>
      <c r="M100" s="119">
        <v>4596.7</v>
      </c>
      <c r="N100" s="119">
        <v>13810.2</v>
      </c>
      <c r="O100" s="119">
        <v>11430.1</v>
      </c>
      <c r="P100" s="119">
        <v>935.6</v>
      </c>
    </row>
    <row r="101" spans="2:16">
      <c r="B101" s="109" t="s">
        <v>160</v>
      </c>
      <c r="C101" s="120" t="s">
        <v>0</v>
      </c>
      <c r="D101" s="121">
        <v>20353.8</v>
      </c>
      <c r="E101" s="121">
        <v>25604.3</v>
      </c>
      <c r="F101" s="121">
        <v>38761.599999999999</v>
      </c>
      <c r="G101" s="121">
        <v>53683.3</v>
      </c>
      <c r="H101" s="121">
        <v>68590.3</v>
      </c>
      <c r="I101" s="121">
        <v>37594.6</v>
      </c>
      <c r="J101" s="121">
        <v>22708.5</v>
      </c>
      <c r="K101" s="121">
        <v>40160.400000000001</v>
      </c>
      <c r="L101" s="121">
        <v>47094.8</v>
      </c>
      <c r="M101" s="121">
        <v>110584.9</v>
      </c>
      <c r="N101" s="121">
        <v>132648.4</v>
      </c>
      <c r="O101" s="121">
        <v>75071.899999999994</v>
      </c>
      <c r="P101" s="121">
        <v>24064.2</v>
      </c>
    </row>
    <row r="102" spans="2:16">
      <c r="B102" s="109" t="s">
        <v>0</v>
      </c>
      <c r="C102" s="146"/>
      <c r="D102" s="176">
        <v>35.241335926300003</v>
      </c>
      <c r="E102" s="176">
        <v>45.437845422999999</v>
      </c>
      <c r="F102" s="176">
        <v>45.583879125499998</v>
      </c>
      <c r="G102" s="176">
        <v>46.119075471599999</v>
      </c>
      <c r="H102" s="176">
        <v>50.606002190700003</v>
      </c>
      <c r="I102" s="176">
        <v>58.413288431700003</v>
      </c>
      <c r="J102" s="176">
        <v>64.995111945700003</v>
      </c>
      <c r="K102" s="176">
        <v>67.596904775699997</v>
      </c>
      <c r="L102" s="176">
        <v>84.925632340299998</v>
      </c>
      <c r="M102" s="176">
        <v>75.523737362600002</v>
      </c>
      <c r="N102" s="176">
        <v>52.278636470599999</v>
      </c>
      <c r="O102" s="176">
        <v>50.1687773612</v>
      </c>
      <c r="P102" s="176">
        <v>52.772110097999999</v>
      </c>
    </row>
    <row r="103" spans="2:16">
      <c r="B103" s="109"/>
      <c r="C103" s="147"/>
      <c r="D103" s="177">
        <v>12.8525263096</v>
      </c>
      <c r="E103" s="177">
        <v>24.859456028899999</v>
      </c>
      <c r="F103" s="177">
        <v>31.8991628313</v>
      </c>
      <c r="G103" s="177">
        <v>26.904423163299999</v>
      </c>
      <c r="H103" s="177">
        <v>32.704484016000002</v>
      </c>
      <c r="I103" s="177">
        <v>42.427821282799997</v>
      </c>
      <c r="J103" s="177">
        <v>39.590902965799998</v>
      </c>
      <c r="K103" s="177">
        <v>47.524236561400002</v>
      </c>
      <c r="L103" s="177">
        <v>56.505910843700001</v>
      </c>
      <c r="M103" s="177">
        <v>39.278952461000003</v>
      </c>
      <c r="N103" s="177">
        <v>30.862738864499999</v>
      </c>
      <c r="O103" s="177">
        <v>38.917594599300003</v>
      </c>
      <c r="P103" s="177">
        <v>37.510220161100001</v>
      </c>
    </row>
    <row r="104" spans="2:16" ht="15">
      <c r="B104" s="118"/>
      <c r="C104" s="118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</row>
    <row r="105" spans="2:16" ht="15"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09"/>
      <c r="O105" s="116"/>
      <c r="P105" s="109"/>
    </row>
    <row r="106" spans="2:16" ht="15"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09"/>
      <c r="O106" s="116"/>
      <c r="P106" s="109" t="s">
        <v>86</v>
      </c>
    </row>
    <row r="107" spans="2:16" ht="15"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09" t="s">
        <v>73</v>
      </c>
      <c r="O107" s="116"/>
      <c r="P107" s="174">
        <f>(P92-D92)/D92</f>
        <v>-0.31146376680502658</v>
      </c>
    </row>
    <row r="108" spans="2:16" ht="15"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09" t="s">
        <v>74</v>
      </c>
      <c r="O108" s="116"/>
      <c r="P108" s="174">
        <f>(P101-D101)/D101</f>
        <v>0.18229519794829474</v>
      </c>
    </row>
    <row r="109" spans="2:16" ht="15"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09" t="s">
        <v>76</v>
      </c>
      <c r="O109" s="116"/>
      <c r="P109" s="174">
        <f>((P92+P101)-(D92+D101))/(D92+D101)</f>
        <v>-0.18592386063267932</v>
      </c>
    </row>
    <row r="110" spans="2:16" ht="15"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09" t="s">
        <v>71</v>
      </c>
      <c r="O110" s="116"/>
      <c r="P110" s="174">
        <f>(P102-D102)/D102</f>
        <v>0.49744919455840153</v>
      </c>
    </row>
    <row r="111" spans="2:16">
      <c r="N111" s="109" t="s">
        <v>72</v>
      </c>
      <c r="O111" s="116"/>
      <c r="P111" s="174">
        <f>(P103-D103)/D103</f>
        <v>1.9185095021421825</v>
      </c>
    </row>
    <row r="112" spans="2:16">
      <c r="B112" s="106" t="s">
        <v>154</v>
      </c>
    </row>
    <row r="113" spans="2:16">
      <c r="B113" s="108" t="s">
        <v>32</v>
      </c>
      <c r="C113" s="108" t="s">
        <v>66</v>
      </c>
      <c r="D113" s="108" t="s">
        <v>66</v>
      </c>
      <c r="E113" s="108" t="s">
        <v>66</v>
      </c>
      <c r="F113" s="108" t="s">
        <v>66</v>
      </c>
      <c r="G113" s="108" t="s">
        <v>66</v>
      </c>
      <c r="H113" s="108" t="s">
        <v>66</v>
      </c>
      <c r="I113" s="108" t="s">
        <v>66</v>
      </c>
      <c r="J113" s="108" t="s">
        <v>66</v>
      </c>
      <c r="K113" s="108" t="s">
        <v>66</v>
      </c>
      <c r="L113" s="108" t="s">
        <v>66</v>
      </c>
      <c r="M113" s="108" t="s">
        <v>66</v>
      </c>
      <c r="N113" s="108" t="s">
        <v>66</v>
      </c>
      <c r="O113" s="108" t="s">
        <v>66</v>
      </c>
      <c r="P113" s="108" t="s">
        <v>66</v>
      </c>
    </row>
    <row r="114" spans="2:16">
      <c r="B114" s="108" t="s">
        <v>121</v>
      </c>
      <c r="C114" s="108" t="s">
        <v>208</v>
      </c>
      <c r="D114" s="108" t="s">
        <v>209</v>
      </c>
      <c r="E114" s="108" t="s">
        <v>210</v>
      </c>
      <c r="F114" s="108" t="s">
        <v>211</v>
      </c>
      <c r="G114" s="108" t="s">
        <v>212</v>
      </c>
      <c r="H114" s="108" t="s">
        <v>213</v>
      </c>
      <c r="I114" s="108" t="s">
        <v>214</v>
      </c>
      <c r="J114" s="108" t="s">
        <v>103</v>
      </c>
      <c r="K114" s="108" t="s">
        <v>215</v>
      </c>
      <c r="L114" s="108" t="s">
        <v>216</v>
      </c>
      <c r="M114" s="108" t="s">
        <v>217</v>
      </c>
      <c r="N114" s="108" t="s">
        <v>218</v>
      </c>
      <c r="O114" s="108" t="s">
        <v>219</v>
      </c>
      <c r="P114" s="108" t="s">
        <v>0</v>
      </c>
    </row>
    <row r="115" spans="2:16">
      <c r="B115" s="108" t="s">
        <v>126</v>
      </c>
      <c r="C115" s="108" t="s">
        <v>7</v>
      </c>
      <c r="D115" s="108" t="s">
        <v>9</v>
      </c>
      <c r="E115" s="108" t="s">
        <v>9</v>
      </c>
      <c r="F115" s="108" t="s">
        <v>8</v>
      </c>
      <c r="G115" s="108" t="s">
        <v>10</v>
      </c>
      <c r="H115" s="108" t="s">
        <v>11</v>
      </c>
      <c r="I115" s="108" t="s">
        <v>12</v>
      </c>
      <c r="J115" s="108" t="s">
        <v>13</v>
      </c>
      <c r="K115" s="108" t="s">
        <v>5</v>
      </c>
      <c r="L115" s="108" t="s">
        <v>6</v>
      </c>
      <c r="M115" s="108" t="s">
        <v>7</v>
      </c>
      <c r="N115" s="108" t="s">
        <v>8</v>
      </c>
      <c r="O115" s="108" t="s">
        <v>7</v>
      </c>
      <c r="P115" s="108"/>
    </row>
    <row r="116" spans="2:16">
      <c r="B116" s="109" t="s">
        <v>235</v>
      </c>
      <c r="C116" s="119">
        <v>3569.6</v>
      </c>
      <c r="D116" s="119">
        <v>5205</v>
      </c>
      <c r="E116" s="119">
        <v>210</v>
      </c>
      <c r="F116" s="119">
        <v>2091.8000000000002</v>
      </c>
      <c r="G116" s="119">
        <v>456.3</v>
      </c>
      <c r="H116" s="119">
        <v>53.4</v>
      </c>
      <c r="I116" s="119">
        <v>0</v>
      </c>
      <c r="J116" s="119">
        <v>0</v>
      </c>
      <c r="K116" s="119">
        <v>0</v>
      </c>
      <c r="L116" s="119">
        <v>6150</v>
      </c>
      <c r="M116" s="119">
        <v>0</v>
      </c>
      <c r="N116" s="119">
        <v>610</v>
      </c>
      <c r="O116" s="119">
        <v>70</v>
      </c>
      <c r="P116" s="119">
        <v>18416.099999999999</v>
      </c>
    </row>
    <row r="117" spans="2:16">
      <c r="B117" s="109" t="s">
        <v>26</v>
      </c>
      <c r="C117" s="119">
        <v>19753.8</v>
      </c>
      <c r="D117" s="119">
        <v>22612.799999999999</v>
      </c>
      <c r="E117" s="119">
        <v>7404.2</v>
      </c>
      <c r="F117" s="119">
        <v>20206</v>
      </c>
      <c r="G117" s="119">
        <v>18024.599999999999</v>
      </c>
      <c r="H117" s="119">
        <v>23642.3</v>
      </c>
      <c r="I117" s="119">
        <v>27130.5</v>
      </c>
      <c r="J117" s="119">
        <v>9410.5</v>
      </c>
      <c r="K117" s="119">
        <v>25945.3</v>
      </c>
      <c r="L117" s="119">
        <v>9508.4</v>
      </c>
      <c r="M117" s="119">
        <v>19740.7</v>
      </c>
      <c r="N117" s="119">
        <v>6714.7</v>
      </c>
      <c r="O117" s="119">
        <v>3116.9</v>
      </c>
      <c r="P117" s="119">
        <v>213210.7</v>
      </c>
    </row>
    <row r="118" spans="2:16">
      <c r="B118" s="109" t="s">
        <v>241</v>
      </c>
      <c r="C118" s="119">
        <v>10.4</v>
      </c>
      <c r="D118" s="119">
        <v>0</v>
      </c>
      <c r="E118" s="119">
        <v>0</v>
      </c>
      <c r="F118" s="119">
        <v>0</v>
      </c>
      <c r="G118" s="119">
        <v>0</v>
      </c>
      <c r="H118" s="119">
        <v>0</v>
      </c>
      <c r="I118" s="119">
        <v>0</v>
      </c>
      <c r="J118" s="119">
        <v>0</v>
      </c>
      <c r="K118" s="119">
        <v>0</v>
      </c>
      <c r="L118" s="119">
        <v>0</v>
      </c>
      <c r="M118" s="119">
        <v>0</v>
      </c>
      <c r="N118" s="119">
        <v>0</v>
      </c>
      <c r="O118" s="119">
        <v>0</v>
      </c>
      <c r="P118" s="119">
        <v>10.4</v>
      </c>
    </row>
    <row r="119" spans="2:16">
      <c r="B119" s="109" t="s">
        <v>236</v>
      </c>
      <c r="C119" s="119">
        <v>3695</v>
      </c>
      <c r="D119" s="119">
        <v>5244.3</v>
      </c>
      <c r="E119" s="119">
        <v>326.10000000000002</v>
      </c>
      <c r="F119" s="119">
        <v>273.8</v>
      </c>
      <c r="G119" s="119">
        <v>521.1</v>
      </c>
      <c r="H119" s="119">
        <v>1821.5</v>
      </c>
      <c r="I119" s="119">
        <v>1183.5</v>
      </c>
      <c r="J119" s="119">
        <v>701.1</v>
      </c>
      <c r="K119" s="119">
        <v>3031.3</v>
      </c>
      <c r="L119" s="119">
        <v>1469.4</v>
      </c>
      <c r="M119" s="119">
        <v>1177.9000000000001</v>
      </c>
      <c r="N119" s="119">
        <v>1740</v>
      </c>
      <c r="O119" s="119">
        <v>762.7</v>
      </c>
      <c r="P119" s="119">
        <v>21947.7</v>
      </c>
    </row>
    <row r="120" spans="2:16">
      <c r="B120" s="109" t="s">
        <v>245</v>
      </c>
      <c r="C120" s="119">
        <v>26</v>
      </c>
      <c r="D120" s="119">
        <v>0</v>
      </c>
      <c r="E120" s="119">
        <v>0</v>
      </c>
      <c r="F120" s="119">
        <v>0</v>
      </c>
      <c r="G120" s="119">
        <v>279.8</v>
      </c>
      <c r="H120" s="119">
        <v>200.8</v>
      </c>
      <c r="I120" s="119">
        <v>0</v>
      </c>
      <c r="J120" s="119">
        <v>0</v>
      </c>
      <c r="K120" s="119">
        <v>0</v>
      </c>
      <c r="L120" s="119">
        <v>0</v>
      </c>
      <c r="M120" s="119">
        <v>20.399999999999999</v>
      </c>
      <c r="N120" s="119">
        <v>132.6</v>
      </c>
      <c r="O120" s="119">
        <v>846.6</v>
      </c>
      <c r="P120" s="119">
        <v>1506.2</v>
      </c>
    </row>
    <row r="121" spans="2:16">
      <c r="B121" s="109" t="s">
        <v>238</v>
      </c>
      <c r="C121" s="119">
        <v>1500</v>
      </c>
      <c r="D121" s="119">
        <v>0</v>
      </c>
      <c r="E121" s="119">
        <v>0</v>
      </c>
      <c r="F121" s="119">
        <v>0</v>
      </c>
      <c r="G121" s="119">
        <v>0</v>
      </c>
      <c r="H121" s="119">
        <v>0</v>
      </c>
      <c r="I121" s="119">
        <v>0</v>
      </c>
      <c r="J121" s="119">
        <v>0</v>
      </c>
      <c r="K121" s="119">
        <v>0</v>
      </c>
      <c r="L121" s="119">
        <v>0</v>
      </c>
      <c r="M121" s="119">
        <v>43.7</v>
      </c>
      <c r="N121" s="119">
        <v>93.7</v>
      </c>
      <c r="O121" s="119">
        <v>0</v>
      </c>
      <c r="P121" s="119">
        <v>1637.4</v>
      </c>
    </row>
    <row r="122" spans="2:16">
      <c r="B122" s="109" t="s">
        <v>22</v>
      </c>
      <c r="C122" s="119">
        <v>196.5</v>
      </c>
      <c r="D122" s="119">
        <v>1878.6</v>
      </c>
      <c r="E122" s="119">
        <v>195.5</v>
      </c>
      <c r="F122" s="119">
        <v>0</v>
      </c>
      <c r="G122" s="119">
        <v>0</v>
      </c>
      <c r="H122" s="119">
        <v>661</v>
      </c>
      <c r="I122" s="119">
        <v>312.10000000000002</v>
      </c>
      <c r="J122" s="119">
        <v>2449.9</v>
      </c>
      <c r="K122" s="119">
        <v>733.3</v>
      </c>
      <c r="L122" s="119">
        <v>198</v>
      </c>
      <c r="M122" s="119">
        <v>849.6</v>
      </c>
      <c r="N122" s="119">
        <v>0</v>
      </c>
      <c r="O122" s="119">
        <v>410</v>
      </c>
      <c r="P122" s="119">
        <v>7884.5</v>
      </c>
    </row>
    <row r="123" spans="2:16">
      <c r="B123" s="109" t="s">
        <v>247</v>
      </c>
      <c r="C123" s="119">
        <v>0</v>
      </c>
      <c r="D123" s="119">
        <v>0</v>
      </c>
      <c r="E123" s="119">
        <v>0</v>
      </c>
      <c r="F123" s="119">
        <v>0</v>
      </c>
      <c r="G123" s="119">
        <v>0</v>
      </c>
      <c r="H123" s="119">
        <v>11465.7</v>
      </c>
      <c r="I123" s="119">
        <v>0</v>
      </c>
      <c r="J123" s="119">
        <v>0</v>
      </c>
      <c r="K123" s="119">
        <v>0</v>
      </c>
      <c r="L123" s="119">
        <v>2463.6</v>
      </c>
      <c r="M123" s="119">
        <v>0</v>
      </c>
      <c r="N123" s="119">
        <v>4549.7</v>
      </c>
      <c r="O123" s="119">
        <v>0</v>
      </c>
      <c r="P123" s="119">
        <v>18479</v>
      </c>
    </row>
    <row r="124" spans="2:16">
      <c r="B124" s="109" t="s">
        <v>248</v>
      </c>
      <c r="C124" s="119">
        <v>0</v>
      </c>
      <c r="D124" s="119">
        <v>0</v>
      </c>
      <c r="E124" s="119">
        <v>0</v>
      </c>
      <c r="F124" s="119">
        <v>0</v>
      </c>
      <c r="G124" s="119">
        <v>0</v>
      </c>
      <c r="H124" s="119">
        <v>0</v>
      </c>
      <c r="I124" s="119">
        <v>0</v>
      </c>
      <c r="J124" s="119">
        <v>0</v>
      </c>
      <c r="K124" s="119">
        <v>0</v>
      </c>
      <c r="L124" s="119">
        <v>0</v>
      </c>
      <c r="M124" s="119">
        <v>0</v>
      </c>
      <c r="N124" s="119">
        <v>0</v>
      </c>
      <c r="O124" s="119">
        <v>0</v>
      </c>
      <c r="P124" s="119">
        <v>0</v>
      </c>
    </row>
    <row r="125" spans="2:16">
      <c r="B125" s="109" t="s">
        <v>249</v>
      </c>
      <c r="C125" s="119">
        <v>0</v>
      </c>
      <c r="D125" s="119">
        <v>0</v>
      </c>
      <c r="E125" s="119">
        <v>0</v>
      </c>
      <c r="F125" s="119">
        <v>0</v>
      </c>
      <c r="G125" s="119">
        <v>0</v>
      </c>
      <c r="H125" s="119">
        <v>0</v>
      </c>
      <c r="I125" s="119">
        <v>0</v>
      </c>
      <c r="J125" s="119">
        <v>0</v>
      </c>
      <c r="K125" s="119">
        <v>0</v>
      </c>
      <c r="L125" s="119">
        <v>0</v>
      </c>
      <c r="M125" s="119">
        <v>0</v>
      </c>
      <c r="N125" s="119">
        <v>0</v>
      </c>
      <c r="O125" s="119">
        <v>0</v>
      </c>
      <c r="P125" s="119">
        <v>0</v>
      </c>
    </row>
    <row r="126" spans="2:16">
      <c r="B126" s="109" t="s">
        <v>239</v>
      </c>
      <c r="C126" s="119">
        <v>0</v>
      </c>
      <c r="D126" s="119">
        <v>0</v>
      </c>
      <c r="E126" s="119">
        <v>0</v>
      </c>
      <c r="F126" s="119">
        <v>0</v>
      </c>
      <c r="G126" s="119">
        <v>0</v>
      </c>
      <c r="H126" s="119">
        <v>0</v>
      </c>
      <c r="I126" s="119">
        <v>0</v>
      </c>
      <c r="J126" s="119">
        <v>0</v>
      </c>
      <c r="K126" s="119">
        <v>0</v>
      </c>
      <c r="L126" s="119">
        <v>0</v>
      </c>
      <c r="M126" s="119">
        <v>0</v>
      </c>
      <c r="N126" s="119">
        <v>0</v>
      </c>
      <c r="O126" s="119">
        <v>0</v>
      </c>
      <c r="P126" s="119">
        <v>0</v>
      </c>
    </row>
    <row r="127" spans="2:16">
      <c r="B127" s="109" t="s">
        <v>240</v>
      </c>
      <c r="C127" s="119">
        <v>0</v>
      </c>
      <c r="D127" s="119">
        <v>0</v>
      </c>
      <c r="E127" s="119">
        <v>0</v>
      </c>
      <c r="F127" s="119">
        <v>0</v>
      </c>
      <c r="G127" s="119">
        <v>0</v>
      </c>
      <c r="H127" s="119">
        <v>0</v>
      </c>
      <c r="I127" s="119">
        <v>0</v>
      </c>
      <c r="J127" s="119">
        <v>0</v>
      </c>
      <c r="K127" s="119">
        <v>0</v>
      </c>
      <c r="L127" s="119">
        <v>0</v>
      </c>
      <c r="M127" s="119">
        <v>0</v>
      </c>
      <c r="N127" s="119">
        <v>0</v>
      </c>
      <c r="O127" s="119">
        <v>0</v>
      </c>
      <c r="P127" s="119">
        <v>0</v>
      </c>
    </row>
    <row r="128" spans="2:16">
      <c r="B128" s="109" t="s">
        <v>237</v>
      </c>
      <c r="C128" s="119">
        <v>8519.5</v>
      </c>
      <c r="D128" s="119">
        <v>7187.7</v>
      </c>
      <c r="E128" s="119">
        <v>525.79999999999995</v>
      </c>
      <c r="F128" s="119">
        <v>2688.1</v>
      </c>
      <c r="G128" s="119">
        <v>1707.9</v>
      </c>
      <c r="H128" s="119">
        <v>4580.3999999999996</v>
      </c>
      <c r="I128" s="119">
        <v>6456</v>
      </c>
      <c r="J128" s="119">
        <v>12070.5</v>
      </c>
      <c r="K128" s="119">
        <v>4804</v>
      </c>
      <c r="L128" s="119">
        <v>2519.6999999999998</v>
      </c>
      <c r="M128" s="119">
        <v>6709.7</v>
      </c>
      <c r="N128" s="119">
        <v>7385.9</v>
      </c>
      <c r="O128" s="119">
        <v>1489.3</v>
      </c>
      <c r="P128" s="119">
        <v>66644.5</v>
      </c>
    </row>
    <row r="129" spans="2:16">
      <c r="B129" s="120" t="s">
        <v>0</v>
      </c>
      <c r="C129" s="121">
        <v>37270.800000000003</v>
      </c>
      <c r="D129" s="121">
        <v>42128.4</v>
      </c>
      <c r="E129" s="121">
        <v>8661.6</v>
      </c>
      <c r="F129" s="121">
        <v>25259.7</v>
      </c>
      <c r="G129" s="121">
        <v>20989.7</v>
      </c>
      <c r="H129" s="121">
        <v>42425.1</v>
      </c>
      <c r="I129" s="121">
        <v>35082.1</v>
      </c>
      <c r="J129" s="121">
        <v>24632</v>
      </c>
      <c r="K129" s="121">
        <v>34513.9</v>
      </c>
      <c r="L129" s="121">
        <v>22309.1</v>
      </c>
      <c r="M129" s="121">
        <v>28542</v>
      </c>
      <c r="N129" s="121">
        <v>21226.6</v>
      </c>
      <c r="O129" s="121">
        <v>6695.5</v>
      </c>
      <c r="P129" s="121">
        <v>349736.5</v>
      </c>
    </row>
    <row r="130" spans="2:16">
      <c r="B130" s="109" t="s">
        <v>235</v>
      </c>
      <c r="C130" s="119">
        <v>0</v>
      </c>
      <c r="D130" s="119">
        <v>2132.8000000000002</v>
      </c>
      <c r="E130" s="119">
        <v>3265.4</v>
      </c>
      <c r="F130" s="119">
        <v>8244.2000000000007</v>
      </c>
      <c r="G130" s="119">
        <v>208.4</v>
      </c>
      <c r="H130" s="119">
        <v>3100.2</v>
      </c>
      <c r="I130" s="119">
        <v>0</v>
      </c>
      <c r="J130" s="119">
        <v>0</v>
      </c>
      <c r="K130" s="119">
        <v>376.2</v>
      </c>
      <c r="L130" s="119">
        <v>14289.6</v>
      </c>
      <c r="M130" s="119">
        <v>1420.9</v>
      </c>
      <c r="N130" s="119">
        <v>808.2</v>
      </c>
      <c r="O130" s="119">
        <v>0</v>
      </c>
      <c r="P130" s="119">
        <v>33845.9</v>
      </c>
    </row>
    <row r="131" spans="2:16">
      <c r="B131" s="109" t="s">
        <v>26</v>
      </c>
      <c r="C131" s="119">
        <v>570.5</v>
      </c>
      <c r="D131" s="119">
        <v>1653.1</v>
      </c>
      <c r="E131" s="119">
        <v>16.7</v>
      </c>
      <c r="F131" s="119">
        <v>904.8</v>
      </c>
      <c r="G131" s="119">
        <v>783.8</v>
      </c>
      <c r="H131" s="119">
        <v>1575.6</v>
      </c>
      <c r="I131" s="119">
        <v>1898.2</v>
      </c>
      <c r="J131" s="119">
        <v>331</v>
      </c>
      <c r="K131" s="119">
        <v>910.9</v>
      </c>
      <c r="L131" s="119">
        <v>859.1</v>
      </c>
      <c r="M131" s="119">
        <v>0</v>
      </c>
      <c r="N131" s="119">
        <v>1016.6</v>
      </c>
      <c r="O131" s="119">
        <v>1097.9000000000001</v>
      </c>
      <c r="P131" s="119">
        <v>11618.2</v>
      </c>
    </row>
    <row r="132" spans="2:16">
      <c r="B132" s="109" t="s">
        <v>241</v>
      </c>
      <c r="C132" s="119">
        <v>1413.2</v>
      </c>
      <c r="D132" s="119">
        <v>89.7</v>
      </c>
      <c r="E132" s="119">
        <v>18.399999999999999</v>
      </c>
      <c r="F132" s="119">
        <v>2.7</v>
      </c>
      <c r="G132" s="119">
        <v>39.5</v>
      </c>
      <c r="H132" s="119">
        <v>0</v>
      </c>
      <c r="I132" s="119">
        <v>24.2</v>
      </c>
      <c r="J132" s="119">
        <v>0</v>
      </c>
      <c r="K132" s="119">
        <v>0</v>
      </c>
      <c r="L132" s="119">
        <v>4972</v>
      </c>
      <c r="M132" s="119">
        <v>2021.5</v>
      </c>
      <c r="N132" s="119">
        <v>1618.6</v>
      </c>
      <c r="O132" s="119">
        <v>0</v>
      </c>
      <c r="P132" s="119">
        <v>10199.799999999999</v>
      </c>
    </row>
    <row r="133" spans="2:16">
      <c r="B133" s="109" t="s">
        <v>236</v>
      </c>
      <c r="C133" s="119">
        <v>39702.400000000001</v>
      </c>
      <c r="D133" s="119">
        <v>22758.3</v>
      </c>
      <c r="E133" s="119">
        <v>3709.8</v>
      </c>
      <c r="F133" s="119">
        <v>6336.3</v>
      </c>
      <c r="G133" s="119">
        <v>20030</v>
      </c>
      <c r="H133" s="119">
        <v>51191.5</v>
      </c>
      <c r="I133" s="119">
        <v>49736.3</v>
      </c>
      <c r="J133" s="119">
        <v>101506.1</v>
      </c>
      <c r="K133" s="119">
        <v>52921.9</v>
      </c>
      <c r="L133" s="119">
        <v>28184.1</v>
      </c>
      <c r="M133" s="119">
        <v>27920</v>
      </c>
      <c r="N133" s="119">
        <v>42815.3</v>
      </c>
      <c r="O133" s="119">
        <v>21404.400000000001</v>
      </c>
      <c r="P133" s="119">
        <v>468216.4</v>
      </c>
    </row>
    <row r="134" spans="2:16">
      <c r="B134" s="109" t="s">
        <v>245</v>
      </c>
      <c r="C134" s="119">
        <v>0</v>
      </c>
      <c r="D134" s="119">
        <v>0</v>
      </c>
      <c r="E134" s="119">
        <v>0</v>
      </c>
      <c r="F134" s="119">
        <v>0</v>
      </c>
      <c r="G134" s="119">
        <v>213.5</v>
      </c>
      <c r="H134" s="119">
        <v>0</v>
      </c>
      <c r="I134" s="119">
        <v>0</v>
      </c>
      <c r="J134" s="119">
        <v>204</v>
      </c>
      <c r="K134" s="119">
        <v>0</v>
      </c>
      <c r="L134" s="119">
        <v>0</v>
      </c>
      <c r="M134" s="119">
        <v>0</v>
      </c>
      <c r="N134" s="119">
        <v>0</v>
      </c>
      <c r="O134" s="119">
        <v>0</v>
      </c>
      <c r="P134" s="119">
        <v>417.5</v>
      </c>
    </row>
    <row r="135" spans="2:16">
      <c r="B135" s="109" t="s">
        <v>238</v>
      </c>
      <c r="C135" s="119">
        <v>4712.8999999999996</v>
      </c>
      <c r="D135" s="119">
        <v>1839.6</v>
      </c>
      <c r="E135" s="119">
        <v>10611</v>
      </c>
      <c r="F135" s="119">
        <v>978.8</v>
      </c>
      <c r="G135" s="119">
        <v>1049.8</v>
      </c>
      <c r="H135" s="119">
        <v>12.5</v>
      </c>
      <c r="I135" s="119">
        <v>105.1</v>
      </c>
      <c r="J135" s="119">
        <v>0</v>
      </c>
      <c r="K135" s="119">
        <v>42.8</v>
      </c>
      <c r="L135" s="119">
        <v>40219.4</v>
      </c>
      <c r="M135" s="119">
        <v>13875.8</v>
      </c>
      <c r="N135" s="119">
        <v>4070.8</v>
      </c>
      <c r="O135" s="119">
        <v>137.4</v>
      </c>
      <c r="P135" s="119">
        <v>77655.899999999994</v>
      </c>
    </row>
    <row r="136" spans="2:16">
      <c r="B136" s="109" t="s">
        <v>22</v>
      </c>
      <c r="C136" s="119">
        <v>426.9</v>
      </c>
      <c r="D136" s="119">
        <v>206.1</v>
      </c>
      <c r="E136" s="119">
        <v>1.6</v>
      </c>
      <c r="F136" s="119">
        <v>40</v>
      </c>
      <c r="G136" s="119">
        <v>0</v>
      </c>
      <c r="H136" s="119">
        <v>0</v>
      </c>
      <c r="I136" s="119">
        <v>0</v>
      </c>
      <c r="J136" s="119">
        <v>106.7</v>
      </c>
      <c r="K136" s="119">
        <v>0</v>
      </c>
      <c r="L136" s="119">
        <v>7988.8</v>
      </c>
      <c r="M136" s="119">
        <v>2396.1</v>
      </c>
      <c r="N136" s="119">
        <v>105.9</v>
      </c>
      <c r="O136" s="119">
        <v>0</v>
      </c>
      <c r="P136" s="119">
        <v>11272.1</v>
      </c>
    </row>
    <row r="137" spans="2:16">
      <c r="B137" s="109" t="s">
        <v>248</v>
      </c>
      <c r="C137" s="119">
        <v>339.1</v>
      </c>
      <c r="D137" s="119">
        <v>0</v>
      </c>
      <c r="E137" s="119">
        <v>0</v>
      </c>
      <c r="F137" s="119">
        <v>0</v>
      </c>
      <c r="G137" s="119">
        <v>0</v>
      </c>
      <c r="H137" s="119">
        <v>0</v>
      </c>
      <c r="I137" s="119">
        <v>0</v>
      </c>
      <c r="J137" s="119">
        <v>0</v>
      </c>
      <c r="K137" s="119">
        <v>0</v>
      </c>
      <c r="L137" s="119">
        <v>49.4</v>
      </c>
      <c r="M137" s="119">
        <v>21.7</v>
      </c>
      <c r="N137" s="119">
        <v>51.2</v>
      </c>
      <c r="O137" s="119">
        <v>0</v>
      </c>
      <c r="P137" s="119">
        <v>461.4</v>
      </c>
    </row>
    <row r="138" spans="2:16">
      <c r="B138" s="109" t="s">
        <v>249</v>
      </c>
      <c r="C138" s="119">
        <v>87.1</v>
      </c>
      <c r="D138" s="119">
        <v>0</v>
      </c>
      <c r="E138" s="119">
        <v>0</v>
      </c>
      <c r="F138" s="119">
        <v>0</v>
      </c>
      <c r="G138" s="119">
        <v>0</v>
      </c>
      <c r="H138" s="119">
        <v>0</v>
      </c>
      <c r="I138" s="119">
        <v>0</v>
      </c>
      <c r="J138" s="119">
        <v>0</v>
      </c>
      <c r="K138" s="119">
        <v>0</v>
      </c>
      <c r="L138" s="119">
        <v>240.8</v>
      </c>
      <c r="M138" s="119">
        <v>98.3</v>
      </c>
      <c r="N138" s="119">
        <v>12.8</v>
      </c>
      <c r="O138" s="119">
        <v>0</v>
      </c>
      <c r="P138" s="119">
        <v>439</v>
      </c>
    </row>
    <row r="139" spans="2:16">
      <c r="B139" s="109" t="s">
        <v>239</v>
      </c>
      <c r="C139" s="119">
        <v>9.1</v>
      </c>
      <c r="D139" s="119">
        <v>8.1999999999999993</v>
      </c>
      <c r="E139" s="119">
        <v>0</v>
      </c>
      <c r="F139" s="119">
        <v>0</v>
      </c>
      <c r="G139" s="119">
        <v>0</v>
      </c>
      <c r="H139" s="119">
        <v>0</v>
      </c>
      <c r="I139" s="119">
        <v>0.1</v>
      </c>
      <c r="J139" s="119">
        <v>0</v>
      </c>
      <c r="K139" s="119">
        <v>0</v>
      </c>
      <c r="L139" s="119">
        <v>0</v>
      </c>
      <c r="M139" s="119">
        <v>0</v>
      </c>
      <c r="N139" s="119">
        <v>0</v>
      </c>
      <c r="O139" s="119">
        <v>0</v>
      </c>
      <c r="P139" s="119">
        <v>17.399999999999999</v>
      </c>
    </row>
    <row r="140" spans="2:16">
      <c r="B140" s="109" t="s">
        <v>240</v>
      </c>
      <c r="C140" s="119">
        <v>19.100000000000001</v>
      </c>
      <c r="D140" s="119">
        <v>112.5</v>
      </c>
      <c r="E140" s="119">
        <v>0</v>
      </c>
      <c r="F140" s="119">
        <v>0</v>
      </c>
      <c r="G140" s="119">
        <v>34.200000000000003</v>
      </c>
      <c r="H140" s="119">
        <v>0</v>
      </c>
      <c r="I140" s="119">
        <v>0</v>
      </c>
      <c r="J140" s="119">
        <v>0</v>
      </c>
      <c r="K140" s="119">
        <v>0</v>
      </c>
      <c r="L140" s="119">
        <v>0</v>
      </c>
      <c r="M140" s="119">
        <v>224.2</v>
      </c>
      <c r="N140" s="119">
        <v>0</v>
      </c>
      <c r="O140" s="119">
        <v>518.79999999999995</v>
      </c>
      <c r="P140" s="119">
        <v>908.8</v>
      </c>
    </row>
    <row r="141" spans="2:16">
      <c r="B141" s="109" t="s">
        <v>237</v>
      </c>
      <c r="C141" s="119">
        <v>1985.9</v>
      </c>
      <c r="D141" s="119">
        <v>1136.7</v>
      </c>
      <c r="E141" s="119">
        <v>36.6</v>
      </c>
      <c r="F141" s="119">
        <v>211.7</v>
      </c>
      <c r="G141" s="119">
        <v>399.9</v>
      </c>
      <c r="H141" s="119">
        <v>347.6</v>
      </c>
      <c r="I141" s="119">
        <v>619.4</v>
      </c>
      <c r="J141" s="119">
        <v>462.2</v>
      </c>
      <c r="K141" s="119">
        <v>1542.2</v>
      </c>
      <c r="L141" s="119">
        <v>110.8</v>
      </c>
      <c r="M141" s="119">
        <v>474.7</v>
      </c>
      <c r="N141" s="119">
        <v>879</v>
      </c>
      <c r="O141" s="119">
        <v>108.8</v>
      </c>
      <c r="P141" s="119">
        <v>8315.5</v>
      </c>
    </row>
    <row r="142" spans="2:16">
      <c r="B142" s="120" t="s">
        <v>0</v>
      </c>
      <c r="C142" s="121">
        <v>49266.2</v>
      </c>
      <c r="D142" s="121">
        <v>29937</v>
      </c>
      <c r="E142" s="121">
        <v>17659.5</v>
      </c>
      <c r="F142" s="121">
        <v>16718.5</v>
      </c>
      <c r="G142" s="121">
        <v>22759.1</v>
      </c>
      <c r="H142" s="121">
        <v>56227.4</v>
      </c>
      <c r="I142" s="121">
        <v>52383.3</v>
      </c>
      <c r="J142" s="121">
        <v>102610</v>
      </c>
      <c r="K142" s="121">
        <v>55794</v>
      </c>
      <c r="L142" s="121">
        <v>96914</v>
      </c>
      <c r="M142" s="121">
        <v>48453.2</v>
      </c>
      <c r="N142" s="121">
        <v>51378.400000000001</v>
      </c>
      <c r="O142" s="121">
        <v>23267.3</v>
      </c>
      <c r="P142" s="121">
        <v>623367.9</v>
      </c>
    </row>
    <row r="143" spans="2:16">
      <c r="B143" s="120"/>
      <c r="C143" s="180">
        <v>86537</v>
      </c>
      <c r="D143" s="180">
        <v>72065.399999999994</v>
      </c>
      <c r="E143" s="180">
        <v>26321.1</v>
      </c>
      <c r="F143" s="180">
        <v>41978.2</v>
      </c>
      <c r="G143" s="180">
        <v>43748.800000000003</v>
      </c>
      <c r="H143" s="180">
        <v>98652.5</v>
      </c>
      <c r="I143" s="180">
        <v>87465.4</v>
      </c>
      <c r="J143" s="180">
        <v>127242</v>
      </c>
      <c r="K143" s="180">
        <v>90307.9</v>
      </c>
      <c r="L143" s="180">
        <v>119223.1</v>
      </c>
      <c r="M143" s="180">
        <v>76995.199999999997</v>
      </c>
      <c r="N143" s="180">
        <v>72605</v>
      </c>
      <c r="O143" s="180">
        <v>29962.799999999999</v>
      </c>
      <c r="P143" s="180">
        <v>973104.4</v>
      </c>
    </row>
    <row r="144" spans="2:16">
      <c r="B144" s="10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46"/>
      <c r="C145" s="176">
        <v>85.641688235700002</v>
      </c>
      <c r="D145" s="176">
        <v>72.567504581199998</v>
      </c>
      <c r="E145" s="176">
        <v>57.729230165300002</v>
      </c>
      <c r="F145" s="176">
        <v>79.770314770200002</v>
      </c>
      <c r="G145" s="176">
        <v>121.30970936609999</v>
      </c>
      <c r="H145" s="176">
        <v>134.83571758439999</v>
      </c>
      <c r="I145" s="176">
        <v>133.8397772653</v>
      </c>
      <c r="J145" s="176">
        <v>113.31356325110001</v>
      </c>
      <c r="K145" s="176">
        <v>162.96642019590001</v>
      </c>
      <c r="L145" s="176">
        <v>103.35827039190001</v>
      </c>
      <c r="M145" s="176">
        <v>110.2333782116</v>
      </c>
      <c r="N145" s="176">
        <v>83.828092822599999</v>
      </c>
      <c r="O145" s="176">
        <v>118.2418215391</v>
      </c>
      <c r="P145" s="146"/>
    </row>
    <row r="146" spans="2:16">
      <c r="B146" s="147"/>
      <c r="C146" s="177">
        <v>14.3992637955</v>
      </c>
      <c r="D146" s="177">
        <v>25.761619400699999</v>
      </c>
      <c r="E146" s="177">
        <v>8.3765287804999993</v>
      </c>
      <c r="F146" s="177">
        <v>14.8942357269</v>
      </c>
      <c r="G146" s="177">
        <v>28.596647239399999</v>
      </c>
      <c r="H146" s="177">
        <v>33.966924844499999</v>
      </c>
      <c r="I146" s="177">
        <v>38.3508465484</v>
      </c>
      <c r="J146" s="177">
        <v>37.917982149499998</v>
      </c>
      <c r="K146" s="177">
        <v>45.532258665800001</v>
      </c>
      <c r="L146" s="177">
        <v>12.5385350232</v>
      </c>
      <c r="M146" s="177">
        <v>19.789182138600001</v>
      </c>
      <c r="N146" s="177">
        <v>28.9232389487</v>
      </c>
      <c r="O146" s="177">
        <v>34.613184598099998</v>
      </c>
      <c r="P146" s="147"/>
    </row>
    <row r="147" spans="2:16" ht="15"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4"/>
    </row>
    <row r="148" spans="2:16" ht="15">
      <c r="B148" s="118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14"/>
    </row>
    <row r="149" spans="2:16" ht="15"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4"/>
    </row>
    <row r="150" spans="2:16" ht="15">
      <c r="B150" s="118"/>
      <c r="C150" s="118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4"/>
    </row>
    <row r="151" spans="2:16" ht="15">
      <c r="B151" s="118"/>
      <c r="C151" s="118"/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09" t="s">
        <v>73</v>
      </c>
      <c r="O151" s="174">
        <f>(O129-C129)/C129</f>
        <v>-0.8203553452032154</v>
      </c>
      <c r="P151" s="114"/>
    </row>
    <row r="152" spans="2:16" ht="15"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09" t="s">
        <v>74</v>
      </c>
      <c r="O152" s="174">
        <f>(O142-C142)/C143</f>
        <v>-0.30043680737719125</v>
      </c>
      <c r="P152" s="114"/>
    </row>
    <row r="153" spans="2:16" ht="15"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09" t="s">
        <v>77</v>
      </c>
      <c r="O153" s="174">
        <f>((O129+O142)-(C129+C142))/(C129+C142)</f>
        <v>-0.6537573523463952</v>
      </c>
      <c r="P153" s="114"/>
    </row>
    <row r="154" spans="2:16" ht="15"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09" t="s">
        <v>71</v>
      </c>
      <c r="O154" s="174">
        <f>(O145-C145)/C145</f>
        <v>0.38065729407013876</v>
      </c>
      <c r="P154" s="114"/>
    </row>
    <row r="155" spans="2:16" ht="15"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09" t="s">
        <v>72</v>
      </c>
      <c r="O155" s="174">
        <f>(O146-C146)/C146</f>
        <v>1.4038162707260891</v>
      </c>
      <c r="P155" s="114"/>
    </row>
    <row r="157" spans="2:16">
      <c r="B157" s="106" t="s">
        <v>155</v>
      </c>
    </row>
    <row r="158" spans="2:16">
      <c r="B158" s="108" t="s">
        <v>32</v>
      </c>
      <c r="C158" s="108" t="s">
        <v>133</v>
      </c>
      <c r="D158" s="108" t="s">
        <v>133</v>
      </c>
      <c r="E158" s="108" t="s">
        <v>133</v>
      </c>
      <c r="F158" s="108" t="s">
        <v>133</v>
      </c>
      <c r="G158" s="108" t="s">
        <v>133</v>
      </c>
      <c r="H158" s="108" t="s">
        <v>133</v>
      </c>
      <c r="I158" s="108" t="s">
        <v>133</v>
      </c>
      <c r="J158" s="108" t="s">
        <v>133</v>
      </c>
      <c r="K158" s="108" t="s">
        <v>133</v>
      </c>
      <c r="L158" s="108" t="s">
        <v>133</v>
      </c>
      <c r="M158" s="108" t="s">
        <v>133</v>
      </c>
      <c r="N158" s="108" t="s">
        <v>133</v>
      </c>
      <c r="O158" s="108" t="s">
        <v>133</v>
      </c>
    </row>
    <row r="159" spans="2:16">
      <c r="B159" s="108" t="s">
        <v>121</v>
      </c>
      <c r="C159" s="108" t="s">
        <v>208</v>
      </c>
      <c r="D159" s="108" t="s">
        <v>209</v>
      </c>
      <c r="E159" s="108" t="s">
        <v>210</v>
      </c>
      <c r="F159" s="108" t="s">
        <v>211</v>
      </c>
      <c r="G159" s="108" t="s">
        <v>212</v>
      </c>
      <c r="H159" s="108" t="s">
        <v>213</v>
      </c>
      <c r="I159" s="108" t="s">
        <v>214</v>
      </c>
      <c r="J159" s="108" t="s">
        <v>103</v>
      </c>
      <c r="K159" s="108" t="s">
        <v>215</v>
      </c>
      <c r="L159" s="108" t="s">
        <v>216</v>
      </c>
      <c r="M159" s="108" t="s">
        <v>217</v>
      </c>
      <c r="N159" s="108" t="s">
        <v>218</v>
      </c>
      <c r="O159" s="108" t="s">
        <v>219</v>
      </c>
    </row>
    <row r="160" spans="2:16">
      <c r="B160" s="108" t="s">
        <v>126</v>
      </c>
      <c r="C160" s="108" t="s">
        <v>7</v>
      </c>
      <c r="D160" s="108" t="s">
        <v>9</v>
      </c>
      <c r="E160" s="108" t="s">
        <v>9</v>
      </c>
      <c r="F160" s="108" t="s">
        <v>8</v>
      </c>
      <c r="G160" s="108" t="s">
        <v>10</v>
      </c>
      <c r="H160" s="108" t="s">
        <v>11</v>
      </c>
      <c r="I160" s="108" t="s">
        <v>12</v>
      </c>
      <c r="J160" s="108" t="s">
        <v>13</v>
      </c>
      <c r="K160" s="108" t="s">
        <v>5</v>
      </c>
      <c r="L160" s="108" t="s">
        <v>6</v>
      </c>
      <c r="M160" s="108" t="s">
        <v>7</v>
      </c>
      <c r="N160" s="108" t="s">
        <v>8</v>
      </c>
      <c r="O160" s="108" t="s">
        <v>7</v>
      </c>
    </row>
    <row r="161" spans="2:15">
      <c r="B161" s="109" t="s">
        <v>244</v>
      </c>
      <c r="C161" s="119">
        <v>0</v>
      </c>
      <c r="D161" s="119">
        <v>0</v>
      </c>
      <c r="E161" s="119">
        <v>0</v>
      </c>
      <c r="F161" s="119">
        <v>0</v>
      </c>
      <c r="G161" s="119">
        <v>0</v>
      </c>
      <c r="H161" s="119">
        <v>0</v>
      </c>
      <c r="I161" s="119">
        <v>0</v>
      </c>
      <c r="J161" s="119">
        <v>0</v>
      </c>
      <c r="K161" s="119">
        <v>0</v>
      </c>
      <c r="L161" s="119">
        <v>0</v>
      </c>
      <c r="M161" s="119">
        <v>0</v>
      </c>
      <c r="N161" s="119">
        <v>0</v>
      </c>
      <c r="O161" s="119">
        <v>0</v>
      </c>
    </row>
    <row r="162" spans="2:15">
      <c r="B162" s="109" t="s">
        <v>235</v>
      </c>
      <c r="C162" s="119">
        <v>115140.8</v>
      </c>
      <c r="D162" s="119">
        <v>1863</v>
      </c>
      <c r="E162" s="119">
        <v>0</v>
      </c>
      <c r="F162" s="119">
        <v>0</v>
      </c>
      <c r="G162" s="119">
        <v>0</v>
      </c>
      <c r="H162" s="119">
        <v>34726.1</v>
      </c>
      <c r="I162" s="119">
        <v>23135.1</v>
      </c>
      <c r="J162" s="119">
        <v>5215.5</v>
      </c>
      <c r="K162" s="119">
        <v>5325.4</v>
      </c>
      <c r="L162" s="119">
        <v>1383.6</v>
      </c>
      <c r="M162" s="119">
        <v>6612.9</v>
      </c>
      <c r="N162" s="119">
        <v>3055</v>
      </c>
      <c r="O162" s="119">
        <v>341</v>
      </c>
    </row>
    <row r="163" spans="2:15">
      <c r="B163" s="109" t="s">
        <v>26</v>
      </c>
      <c r="C163" s="119">
        <v>176958.3</v>
      </c>
      <c r="D163" s="119">
        <v>1250.7</v>
      </c>
      <c r="E163" s="119">
        <v>0</v>
      </c>
      <c r="F163" s="119">
        <v>0</v>
      </c>
      <c r="G163" s="119">
        <v>19356.8</v>
      </c>
      <c r="H163" s="119">
        <v>332294.3</v>
      </c>
      <c r="I163" s="119">
        <v>196729.3</v>
      </c>
      <c r="J163" s="119">
        <v>112859.3</v>
      </c>
      <c r="K163" s="119">
        <v>179227.5</v>
      </c>
      <c r="L163" s="119">
        <v>10714</v>
      </c>
      <c r="M163" s="119">
        <v>64802.400000000001</v>
      </c>
      <c r="N163" s="119">
        <v>6101.5</v>
      </c>
      <c r="O163" s="119">
        <v>2659</v>
      </c>
    </row>
    <row r="164" spans="2:15">
      <c r="B164" s="109" t="s">
        <v>241</v>
      </c>
      <c r="C164" s="119">
        <v>0</v>
      </c>
      <c r="D164" s="119">
        <v>0</v>
      </c>
      <c r="E164" s="119">
        <v>0</v>
      </c>
      <c r="F164" s="119">
        <v>0</v>
      </c>
      <c r="G164" s="119">
        <v>0</v>
      </c>
      <c r="H164" s="119">
        <v>0</v>
      </c>
      <c r="I164" s="119">
        <v>0</v>
      </c>
      <c r="J164" s="119">
        <v>0</v>
      </c>
      <c r="K164" s="119">
        <v>0</v>
      </c>
      <c r="L164" s="119">
        <v>0</v>
      </c>
      <c r="M164" s="119">
        <v>0</v>
      </c>
      <c r="N164" s="119">
        <v>0</v>
      </c>
      <c r="O164" s="119">
        <v>0</v>
      </c>
    </row>
    <row r="165" spans="2:15">
      <c r="B165" s="109" t="s">
        <v>236</v>
      </c>
      <c r="C165" s="119">
        <v>0</v>
      </c>
      <c r="D165" s="119">
        <v>0</v>
      </c>
      <c r="E165" s="119">
        <v>0</v>
      </c>
      <c r="F165" s="119">
        <v>0</v>
      </c>
      <c r="G165" s="119">
        <v>0</v>
      </c>
      <c r="H165" s="119">
        <v>0</v>
      </c>
      <c r="I165" s="119">
        <v>0</v>
      </c>
      <c r="J165" s="119">
        <v>0</v>
      </c>
      <c r="K165" s="119">
        <v>0</v>
      </c>
      <c r="L165" s="119">
        <v>0</v>
      </c>
      <c r="M165" s="119">
        <v>0</v>
      </c>
      <c r="N165" s="119">
        <v>0</v>
      </c>
      <c r="O165" s="119">
        <v>0</v>
      </c>
    </row>
    <row r="166" spans="2:15">
      <c r="B166" s="109" t="s">
        <v>245</v>
      </c>
      <c r="C166" s="119">
        <v>0</v>
      </c>
      <c r="D166" s="119">
        <v>0</v>
      </c>
      <c r="E166" s="119">
        <v>0</v>
      </c>
      <c r="F166" s="119">
        <v>0</v>
      </c>
      <c r="G166" s="119">
        <v>0</v>
      </c>
      <c r="H166" s="119">
        <v>0</v>
      </c>
      <c r="I166" s="119">
        <v>0</v>
      </c>
      <c r="J166" s="119">
        <v>0</v>
      </c>
      <c r="K166" s="119">
        <v>0</v>
      </c>
      <c r="L166" s="119">
        <v>0</v>
      </c>
      <c r="M166" s="119">
        <v>0</v>
      </c>
      <c r="N166" s="119">
        <v>0</v>
      </c>
      <c r="O166" s="119">
        <v>0</v>
      </c>
    </row>
    <row r="167" spans="2:15">
      <c r="B167" s="109" t="s">
        <v>238</v>
      </c>
      <c r="C167" s="119">
        <v>0</v>
      </c>
      <c r="D167" s="119">
        <v>0</v>
      </c>
      <c r="E167" s="119">
        <v>0</v>
      </c>
      <c r="F167" s="119">
        <v>0</v>
      </c>
      <c r="G167" s="119">
        <v>0</v>
      </c>
      <c r="H167" s="119">
        <v>0</v>
      </c>
      <c r="I167" s="119">
        <v>0</v>
      </c>
      <c r="J167" s="119">
        <v>0</v>
      </c>
      <c r="K167" s="119">
        <v>0</v>
      </c>
      <c r="L167" s="119">
        <v>0</v>
      </c>
      <c r="M167" s="119">
        <v>0</v>
      </c>
      <c r="N167" s="119">
        <v>0</v>
      </c>
      <c r="O167" s="119">
        <v>0</v>
      </c>
    </row>
    <row r="168" spans="2:15">
      <c r="B168" s="109" t="s">
        <v>246</v>
      </c>
      <c r="C168" s="119">
        <v>0</v>
      </c>
      <c r="D168" s="119">
        <v>0</v>
      </c>
      <c r="E168" s="119">
        <v>0</v>
      </c>
      <c r="F168" s="119">
        <v>0</v>
      </c>
      <c r="G168" s="119">
        <v>0</v>
      </c>
      <c r="H168" s="119">
        <v>0</v>
      </c>
      <c r="I168" s="119">
        <v>0</v>
      </c>
      <c r="J168" s="119">
        <v>0</v>
      </c>
      <c r="K168" s="119">
        <v>0</v>
      </c>
      <c r="L168" s="119">
        <v>0</v>
      </c>
      <c r="M168" s="119">
        <v>0</v>
      </c>
      <c r="N168" s="119">
        <v>0</v>
      </c>
      <c r="O168" s="119">
        <v>0</v>
      </c>
    </row>
    <row r="169" spans="2:15">
      <c r="B169" s="109" t="s">
        <v>22</v>
      </c>
      <c r="C169" s="119">
        <v>0</v>
      </c>
      <c r="D169" s="119">
        <v>0</v>
      </c>
      <c r="E169" s="119">
        <v>0</v>
      </c>
      <c r="F169" s="119">
        <v>0</v>
      </c>
      <c r="G169" s="119">
        <v>0</v>
      </c>
      <c r="H169" s="119">
        <v>0</v>
      </c>
      <c r="I169" s="119">
        <v>0</v>
      </c>
      <c r="J169" s="119">
        <v>0</v>
      </c>
      <c r="K169" s="119">
        <v>0</v>
      </c>
      <c r="L169" s="119">
        <v>0</v>
      </c>
      <c r="M169" s="119">
        <v>0</v>
      </c>
      <c r="N169" s="119">
        <v>0</v>
      </c>
      <c r="O169" s="119">
        <v>0</v>
      </c>
    </row>
    <row r="170" spans="2:15">
      <c r="B170" s="109" t="s">
        <v>247</v>
      </c>
      <c r="C170" s="119">
        <v>0</v>
      </c>
      <c r="D170" s="119">
        <v>0</v>
      </c>
      <c r="E170" s="119">
        <v>0</v>
      </c>
      <c r="F170" s="119">
        <v>0</v>
      </c>
      <c r="G170" s="119">
        <v>0</v>
      </c>
      <c r="H170" s="119">
        <v>0</v>
      </c>
      <c r="I170" s="119">
        <v>0</v>
      </c>
      <c r="J170" s="119">
        <v>0</v>
      </c>
      <c r="K170" s="119">
        <v>0</v>
      </c>
      <c r="L170" s="119">
        <v>0</v>
      </c>
      <c r="M170" s="119">
        <v>0</v>
      </c>
      <c r="N170" s="119">
        <v>0</v>
      </c>
      <c r="O170" s="119">
        <v>0</v>
      </c>
    </row>
    <row r="171" spans="2:15">
      <c r="B171" s="109" t="s">
        <v>234</v>
      </c>
      <c r="C171" s="119">
        <v>0</v>
      </c>
      <c r="D171" s="119">
        <v>0</v>
      </c>
      <c r="E171" s="119">
        <v>0</v>
      </c>
      <c r="F171" s="119">
        <v>0</v>
      </c>
      <c r="G171" s="119">
        <v>0</v>
      </c>
      <c r="H171" s="119">
        <v>0</v>
      </c>
      <c r="I171" s="119">
        <v>0</v>
      </c>
      <c r="J171" s="119">
        <v>0</v>
      </c>
      <c r="K171" s="119">
        <v>0</v>
      </c>
      <c r="L171" s="119">
        <v>0</v>
      </c>
      <c r="M171" s="119">
        <v>0</v>
      </c>
      <c r="N171" s="119">
        <v>0</v>
      </c>
      <c r="O171" s="119">
        <v>0</v>
      </c>
    </row>
    <row r="172" spans="2:15">
      <c r="B172" s="109" t="s">
        <v>248</v>
      </c>
      <c r="C172" s="119">
        <v>0</v>
      </c>
      <c r="D172" s="119">
        <v>0</v>
      </c>
      <c r="E172" s="119">
        <v>0</v>
      </c>
      <c r="F172" s="119">
        <v>0</v>
      </c>
      <c r="G172" s="119">
        <v>0</v>
      </c>
      <c r="H172" s="119">
        <v>0</v>
      </c>
      <c r="I172" s="119">
        <v>0</v>
      </c>
      <c r="J172" s="119">
        <v>0</v>
      </c>
      <c r="K172" s="119">
        <v>0</v>
      </c>
      <c r="L172" s="119">
        <v>0</v>
      </c>
      <c r="M172" s="119">
        <v>0</v>
      </c>
      <c r="N172" s="119">
        <v>0</v>
      </c>
      <c r="O172" s="119">
        <v>0</v>
      </c>
    </row>
    <row r="173" spans="2:15">
      <c r="B173" s="109" t="s">
        <v>249</v>
      </c>
      <c r="C173" s="119">
        <v>0</v>
      </c>
      <c r="D173" s="119">
        <v>0</v>
      </c>
      <c r="E173" s="119">
        <v>0</v>
      </c>
      <c r="F173" s="119">
        <v>0</v>
      </c>
      <c r="G173" s="119">
        <v>0</v>
      </c>
      <c r="H173" s="119">
        <v>0</v>
      </c>
      <c r="I173" s="119">
        <v>0</v>
      </c>
      <c r="J173" s="119">
        <v>0</v>
      </c>
      <c r="K173" s="119">
        <v>0</v>
      </c>
      <c r="L173" s="119">
        <v>0</v>
      </c>
      <c r="M173" s="119">
        <v>0</v>
      </c>
      <c r="N173" s="119">
        <v>0</v>
      </c>
      <c r="O173" s="119">
        <v>0</v>
      </c>
    </row>
    <row r="174" spans="2:15">
      <c r="B174" s="109" t="s">
        <v>239</v>
      </c>
      <c r="C174" s="119">
        <v>0</v>
      </c>
      <c r="D174" s="119">
        <v>0</v>
      </c>
      <c r="E174" s="119">
        <v>0</v>
      </c>
      <c r="F174" s="119">
        <v>0</v>
      </c>
      <c r="G174" s="119">
        <v>0</v>
      </c>
      <c r="H174" s="119">
        <v>0</v>
      </c>
      <c r="I174" s="119">
        <v>0</v>
      </c>
      <c r="J174" s="119">
        <v>0</v>
      </c>
      <c r="K174" s="119">
        <v>0</v>
      </c>
      <c r="L174" s="119">
        <v>0</v>
      </c>
      <c r="M174" s="119">
        <v>0</v>
      </c>
      <c r="N174" s="119">
        <v>0</v>
      </c>
      <c r="O174" s="119">
        <v>0</v>
      </c>
    </row>
    <row r="175" spans="2:15">
      <c r="B175" s="109" t="s">
        <v>240</v>
      </c>
      <c r="C175" s="119">
        <v>0</v>
      </c>
      <c r="D175" s="119">
        <v>0</v>
      </c>
      <c r="E175" s="119">
        <v>0</v>
      </c>
      <c r="F175" s="119">
        <v>0</v>
      </c>
      <c r="G175" s="119">
        <v>0</v>
      </c>
      <c r="H175" s="119">
        <v>0</v>
      </c>
      <c r="I175" s="119">
        <v>0</v>
      </c>
      <c r="J175" s="119">
        <v>0</v>
      </c>
      <c r="K175" s="119">
        <v>0</v>
      </c>
      <c r="L175" s="119">
        <v>0</v>
      </c>
      <c r="M175" s="119">
        <v>0</v>
      </c>
      <c r="N175" s="119">
        <v>0</v>
      </c>
      <c r="O175" s="119">
        <v>0</v>
      </c>
    </row>
    <row r="176" spans="2:15">
      <c r="B176" s="109" t="s">
        <v>237</v>
      </c>
      <c r="C176" s="119">
        <v>0</v>
      </c>
      <c r="D176" s="119">
        <v>0</v>
      </c>
      <c r="E176" s="119">
        <v>0</v>
      </c>
      <c r="F176" s="119">
        <v>0</v>
      </c>
      <c r="G176" s="119">
        <v>0</v>
      </c>
      <c r="H176" s="119">
        <v>0</v>
      </c>
      <c r="I176" s="119">
        <v>0</v>
      </c>
      <c r="J176" s="119">
        <v>0</v>
      </c>
      <c r="K176" s="119">
        <v>0</v>
      </c>
      <c r="L176" s="119">
        <v>0</v>
      </c>
      <c r="M176" s="119">
        <v>0</v>
      </c>
      <c r="N176" s="119">
        <v>0</v>
      </c>
      <c r="O176" s="119">
        <v>0</v>
      </c>
    </row>
    <row r="177" spans="2:15">
      <c r="B177" s="109" t="s">
        <v>156</v>
      </c>
      <c r="C177" s="177">
        <v>21.121754141</v>
      </c>
      <c r="D177" s="177">
        <v>15.35</v>
      </c>
      <c r="E177" s="177" t="s">
        <v>193</v>
      </c>
      <c r="F177" s="177" t="s">
        <v>193</v>
      </c>
      <c r="G177" s="177">
        <v>24.2165715408</v>
      </c>
      <c r="H177" s="177">
        <v>14.4084291718</v>
      </c>
      <c r="I177" s="177">
        <v>14.1181241984</v>
      </c>
      <c r="J177" s="177">
        <v>14.4011663454</v>
      </c>
      <c r="K177" s="177">
        <v>35.2700287993</v>
      </c>
      <c r="L177" s="177">
        <v>27.787926530899998</v>
      </c>
      <c r="M177" s="177">
        <v>22.1695571817</v>
      </c>
      <c r="N177" s="177">
        <v>20</v>
      </c>
      <c r="O177" s="177">
        <v>3</v>
      </c>
    </row>
  </sheetData>
  <mergeCells count="1">
    <mergeCell ref="B70:B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BF71"/>
  <sheetViews>
    <sheetView showGridLines="0" showRowColHeaders="0" topLeftCell="B1" zoomScaleNormal="100" workbookViewId="0">
      <selection activeCell="Q18" sqref="Q18"/>
    </sheetView>
  </sheetViews>
  <sheetFormatPr baseColWidth="10" defaultColWidth="10.85546875" defaultRowHeight="10.5"/>
  <cols>
    <col min="1" max="1" width="10.85546875" style="44" hidden="1" customWidth="1"/>
    <col min="2" max="2" width="2.5703125" style="44" customWidth="1"/>
    <col min="3" max="3" width="23.7109375" style="44" customWidth="1"/>
    <col min="4" max="4" width="2.7109375" style="44" customWidth="1"/>
    <col min="5" max="38" width="10.85546875" style="44" customWidth="1"/>
    <col min="39" max="58" width="10.85546875" style="51" customWidth="1"/>
    <col min="59" max="16384" width="10.85546875" style="44"/>
  </cols>
  <sheetData>
    <row r="2" spans="3:12" ht="12.75">
      <c r="C2" s="1"/>
      <c r="D2" s="1"/>
      <c r="L2" s="19" t="s">
        <v>37</v>
      </c>
    </row>
    <row r="3" spans="3:12" ht="12.75">
      <c r="C3" s="1"/>
      <c r="D3" s="1"/>
      <c r="L3" s="20" t="s">
        <v>194</v>
      </c>
    </row>
    <row r="4" spans="3:12" ht="12.75">
      <c r="C4" s="21" t="s">
        <v>36</v>
      </c>
    </row>
    <row r="5" spans="3:12" ht="11.25">
      <c r="C5" s="4"/>
    </row>
    <row r="6" spans="3:12" ht="11.25">
      <c r="C6" s="5"/>
    </row>
    <row r="7" spans="3:12" ht="10.5" customHeight="1">
      <c r="C7" s="192" t="s">
        <v>49</v>
      </c>
    </row>
    <row r="8" spans="3:12" ht="10.5" customHeight="1">
      <c r="C8" s="192"/>
    </row>
    <row r="9" spans="3:12" ht="10.5" customHeight="1">
      <c r="C9" s="61" t="s">
        <v>16</v>
      </c>
    </row>
    <row r="10" spans="3:12" ht="10.5" customHeight="1"/>
    <row r="11" spans="3:12" ht="10.5" customHeight="1">
      <c r="C11" s="61"/>
    </row>
    <row r="12" spans="3:12" ht="10.5" customHeight="1">
      <c r="C12" s="61"/>
    </row>
    <row r="30" spans="9:58">
      <c r="I30" s="43"/>
      <c r="AL30" s="51"/>
      <c r="BF30" s="44"/>
    </row>
    <row r="31" spans="9:58">
      <c r="AL31" s="51"/>
      <c r="BF31" s="44"/>
    </row>
    <row r="32" spans="9:58">
      <c r="I32" s="46"/>
      <c r="M32" s="46"/>
      <c r="AL32" s="51"/>
      <c r="BF32" s="44"/>
    </row>
    <row r="33" spans="9:58">
      <c r="I33" s="46"/>
      <c r="M33" s="46"/>
      <c r="AL33" s="51"/>
      <c r="BF33" s="44"/>
    </row>
    <row r="34" spans="9:58">
      <c r="I34" s="46"/>
      <c r="M34" s="47"/>
      <c r="AL34" s="51"/>
      <c r="BF34" s="44"/>
    </row>
    <row r="35" spans="9:58">
      <c r="I35" s="46"/>
      <c r="M35" s="47"/>
      <c r="AL35" s="51"/>
      <c r="BF35" s="44"/>
    </row>
    <row r="36" spans="9:58">
      <c r="I36" s="46"/>
      <c r="M36" s="47"/>
      <c r="AL36" s="51"/>
      <c r="BF36" s="44"/>
    </row>
    <row r="37" spans="9:58">
      <c r="I37" s="46"/>
      <c r="AL37" s="51"/>
      <c r="BF37" s="44"/>
    </row>
    <row r="38" spans="9:58">
      <c r="I38" s="46"/>
      <c r="AL38" s="51"/>
      <c r="BF38" s="44"/>
    </row>
    <row r="39" spans="9:58">
      <c r="I39" s="46"/>
      <c r="AL39" s="51"/>
      <c r="BF39" s="44"/>
    </row>
    <row r="40" spans="9:58">
      <c r="I40" s="46"/>
      <c r="M40" s="48"/>
      <c r="AL40" s="51"/>
      <c r="BF40" s="44"/>
    </row>
    <row r="41" spans="9:58">
      <c r="I41" s="46"/>
      <c r="M41" s="48"/>
      <c r="AL41" s="51"/>
      <c r="BF41" s="44"/>
    </row>
    <row r="42" spans="9:58">
      <c r="I42" s="46"/>
      <c r="AL42" s="51"/>
      <c r="BF42" s="44"/>
    </row>
    <row r="43" spans="9:58">
      <c r="I43" s="46"/>
      <c r="AL43" s="51"/>
      <c r="BF43" s="44"/>
    </row>
    <row r="44" spans="9:58">
      <c r="I44" s="46"/>
      <c r="M44" s="48"/>
      <c r="AL44" s="51"/>
      <c r="BF44" s="44"/>
    </row>
    <row r="45" spans="9:58">
      <c r="I45" s="46"/>
      <c r="O45" s="46"/>
      <c r="AL45" s="51"/>
      <c r="BF45" s="44"/>
    </row>
    <row r="46" spans="9:58">
      <c r="I46" s="46"/>
      <c r="P46" s="46"/>
      <c r="AL46" s="51"/>
      <c r="BF46" s="44"/>
    </row>
    <row r="47" spans="9:58">
      <c r="I47" s="46"/>
      <c r="P47" s="46"/>
      <c r="AL47" s="51"/>
      <c r="BF47" s="44"/>
    </row>
    <row r="48" spans="9:58">
      <c r="I48" s="46"/>
      <c r="P48" s="46"/>
      <c r="AL48" s="51"/>
      <c r="BF48" s="44"/>
    </row>
    <row r="49" spans="5:58">
      <c r="I49" s="46"/>
      <c r="P49" s="46"/>
      <c r="AL49" s="51"/>
      <c r="BF49" s="44"/>
    </row>
    <row r="50" spans="5:58">
      <c r="I50" s="46"/>
      <c r="P50" s="46"/>
      <c r="AL50" s="51"/>
      <c r="BF50" s="44"/>
    </row>
    <row r="51" spans="5:58">
      <c r="I51" s="46"/>
      <c r="P51" s="46"/>
      <c r="AL51" s="51"/>
      <c r="BF51" s="44"/>
    </row>
    <row r="52" spans="5:58">
      <c r="I52" s="46"/>
      <c r="P52" s="46"/>
      <c r="AL52" s="51"/>
      <c r="BF52" s="44"/>
    </row>
    <row r="53" spans="5:58">
      <c r="I53" s="46"/>
      <c r="M53" s="46"/>
      <c r="N53" s="46"/>
      <c r="P53" s="46"/>
      <c r="AL53" s="51"/>
      <c r="BF53" s="44"/>
    </row>
    <row r="54" spans="5:58">
      <c r="I54" s="46"/>
      <c r="M54" s="46"/>
      <c r="N54" s="46"/>
      <c r="P54" s="46"/>
      <c r="AL54" s="51"/>
      <c r="BF54" s="44"/>
    </row>
    <row r="55" spans="5:58">
      <c r="I55" s="46"/>
      <c r="M55" s="46"/>
      <c r="N55" s="46"/>
      <c r="P55" s="46"/>
      <c r="AL55" s="51"/>
      <c r="BF55" s="44"/>
    </row>
    <row r="56" spans="5:58">
      <c r="I56" s="46"/>
      <c r="M56" s="46"/>
      <c r="N56" s="46"/>
      <c r="P56" s="46"/>
      <c r="AL56" s="51"/>
      <c r="BF56" s="44"/>
    </row>
    <row r="57" spans="5:58">
      <c r="I57" s="46"/>
      <c r="P57" s="46"/>
      <c r="AL57" s="51"/>
      <c r="BF57" s="44"/>
    </row>
    <row r="58" spans="5:58" ht="10.5" customHeight="1">
      <c r="I58" s="46"/>
      <c r="M58" s="46"/>
      <c r="N58" s="46"/>
      <c r="P58" s="46"/>
      <c r="AL58" s="51"/>
      <c r="BF58" s="44"/>
    </row>
    <row r="59" spans="5:58">
      <c r="I59" s="46"/>
      <c r="P59" s="46"/>
      <c r="AL59" s="51"/>
      <c r="BF59" s="44"/>
    </row>
    <row r="60" spans="5:58">
      <c r="I60" s="46"/>
      <c r="AL60" s="51"/>
      <c r="BF60" s="44"/>
    </row>
    <row r="61" spans="5:58">
      <c r="I61" s="46"/>
      <c r="AL61" s="51"/>
      <c r="BF61" s="44"/>
    </row>
    <row r="62" spans="5:58" s="49" customFormat="1" ht="12.75">
      <c r="I62" s="46"/>
    </row>
    <row r="63" spans="5:58">
      <c r="E63" s="50"/>
      <c r="H63" s="48">
        <v>41.289576654351698</v>
      </c>
    </row>
    <row r="64" spans="5:58">
      <c r="E64" s="50"/>
      <c r="H64" s="48"/>
    </row>
    <row r="71" spans="10:10">
      <c r="J71" s="45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2" orientation="landscape" horizontalDpi="355" verticalDpi="35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M82"/>
  <sheetViews>
    <sheetView showGridLines="0" showRowColHeaders="0" showOutlineSymbols="0" topLeftCell="A2" workbookViewId="0">
      <selection activeCell="K18" sqref="K18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6" s="1" customFormat="1" ht="0.6" customHeight="1"/>
    <row r="2" spans="2:6" s="1" customFormat="1" ht="21" customHeight="1">
      <c r="E2" s="19" t="s">
        <v>37</v>
      </c>
    </row>
    <row r="3" spans="2:6" s="1" customFormat="1" ht="15" customHeight="1">
      <c r="E3" s="20" t="s">
        <v>194</v>
      </c>
    </row>
    <row r="4" spans="2:6" s="2" customFormat="1" ht="19.899999999999999" customHeight="1">
      <c r="B4" s="3"/>
      <c r="C4" s="21" t="s">
        <v>36</v>
      </c>
    </row>
    <row r="5" spans="2:6" s="2" customFormat="1" ht="12.6" customHeight="1">
      <c r="B5" s="3"/>
      <c r="C5" s="4"/>
    </row>
    <row r="6" spans="2:6" s="2" customFormat="1" ht="13.15" customHeight="1">
      <c r="B6" s="3"/>
      <c r="C6" s="5"/>
      <c r="D6" s="6"/>
      <c r="E6" s="6"/>
    </row>
    <row r="7" spans="2:6" s="2" customFormat="1" ht="12.75" customHeight="1">
      <c r="B7" s="3"/>
      <c r="C7" s="192" t="s">
        <v>140</v>
      </c>
      <c r="D7" s="6"/>
      <c r="E7" s="7"/>
    </row>
    <row r="8" spans="2:6" s="2" customFormat="1" ht="12.75" customHeight="1">
      <c r="B8" s="3"/>
      <c r="C8" s="192"/>
      <c r="D8" s="6"/>
      <c r="E8" s="7"/>
    </row>
    <row r="9" spans="2:6" s="2" customFormat="1" ht="12.75" customHeight="1">
      <c r="B9" s="3"/>
      <c r="C9" s="192"/>
      <c r="D9" s="6"/>
      <c r="E9" s="7"/>
    </row>
    <row r="10" spans="2:6" s="2" customFormat="1" ht="12.75" customHeight="1">
      <c r="B10" s="3"/>
      <c r="C10" s="53"/>
      <c r="D10" s="6"/>
      <c r="E10" s="7"/>
    </row>
    <row r="11" spans="2:6" s="2" customFormat="1" ht="12.75" customHeight="1">
      <c r="B11" s="3"/>
      <c r="C11" s="10"/>
      <c r="D11" s="6"/>
      <c r="E11" s="7"/>
      <c r="F11" s="63" t="s">
        <v>91</v>
      </c>
    </row>
    <row r="12" spans="2:6" s="2" customFormat="1" ht="12.75" customHeight="1">
      <c r="B12" s="3"/>
      <c r="C12" s="41"/>
      <c r="D12" s="6"/>
      <c r="E12" s="7"/>
      <c r="F12" s="63" t="s">
        <v>92</v>
      </c>
    </row>
    <row r="13" spans="2:6" s="2" customFormat="1" ht="12.75" customHeight="1">
      <c r="B13" s="3"/>
      <c r="C13" s="5"/>
      <c r="D13" s="6"/>
      <c r="E13" s="7"/>
      <c r="F13" s="63" t="s">
        <v>93</v>
      </c>
    </row>
    <row r="14" spans="2:6" s="2" customFormat="1" ht="12.75" customHeight="1">
      <c r="B14" s="3"/>
      <c r="C14" s="5"/>
      <c r="D14" s="6"/>
      <c r="E14" s="7"/>
      <c r="F14" s="63" t="s">
        <v>94</v>
      </c>
    </row>
    <row r="15" spans="2:6" s="2" customFormat="1" ht="12.75" customHeight="1">
      <c r="B15" s="3"/>
      <c r="C15" s="5"/>
      <c r="D15" s="6"/>
      <c r="E15" s="7"/>
      <c r="F15" s="63" t="s">
        <v>95</v>
      </c>
    </row>
    <row r="16" spans="2:6" s="2" customFormat="1" ht="12.75" customHeight="1">
      <c r="B16" s="3"/>
      <c r="C16" s="5"/>
      <c r="D16" s="6"/>
      <c r="E16" s="7"/>
      <c r="F16" s="63" t="s">
        <v>94</v>
      </c>
    </row>
    <row r="17" spans="2:13" s="2" customFormat="1" ht="12.75" customHeight="1">
      <c r="B17" s="3"/>
      <c r="C17" s="5"/>
      <c r="D17" s="6"/>
      <c r="E17" s="7"/>
      <c r="F17" s="63" t="s">
        <v>96</v>
      </c>
    </row>
    <row r="18" spans="2:13" s="2" customFormat="1" ht="12.75" customHeight="1">
      <c r="B18" s="3"/>
      <c r="C18" s="5"/>
      <c r="D18" s="6"/>
      <c r="E18" s="7"/>
      <c r="F18" s="63" t="s">
        <v>96</v>
      </c>
    </row>
    <row r="19" spans="2:13" s="2" customFormat="1" ht="12.75" customHeight="1">
      <c r="B19" s="3"/>
      <c r="C19" s="5"/>
      <c r="D19" s="6"/>
      <c r="E19" s="7"/>
      <c r="F19" s="63" t="s">
        <v>95</v>
      </c>
    </row>
    <row r="20" spans="2:13" s="2" customFormat="1" ht="12.75" customHeight="1">
      <c r="B20" s="3"/>
      <c r="C20" s="5"/>
      <c r="D20" s="6"/>
      <c r="E20" s="7"/>
      <c r="F20" s="63" t="s">
        <v>97</v>
      </c>
    </row>
    <row r="21" spans="2:13" s="2" customFormat="1" ht="12.75" customHeight="1">
      <c r="B21" s="3"/>
      <c r="C21" s="5"/>
      <c r="D21" s="6"/>
      <c r="E21" s="7"/>
      <c r="F21" s="63" t="s">
        <v>98</v>
      </c>
    </row>
    <row r="22" spans="2:13">
      <c r="E22" s="7"/>
      <c r="F22" s="63" t="s">
        <v>99</v>
      </c>
    </row>
    <row r="23" spans="2:13">
      <c r="E23" s="7"/>
      <c r="F23" s="63" t="s">
        <v>91</v>
      </c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2"/>
      <c r="L27" s="62"/>
      <c r="M27" s="62"/>
    </row>
    <row r="28" spans="2:13">
      <c r="E28" s="7"/>
    </row>
    <row r="82" spans="2:2">
      <c r="B82" s="9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S82"/>
  <sheetViews>
    <sheetView showGridLines="0" showRowColHeaders="0" showOutlineSymbols="0" topLeftCell="A2" workbookViewId="0">
      <selection activeCell="E36" sqref="E36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19" s="1" customFormat="1" ht="0.6" customHeight="1"/>
    <row r="2" spans="2:19" s="1" customFormat="1" ht="21" customHeight="1">
      <c r="E2" s="19" t="s">
        <v>37</v>
      </c>
    </row>
    <row r="3" spans="2:19" s="1" customFormat="1" ht="15" customHeight="1">
      <c r="E3" s="96" t="s">
        <v>194</v>
      </c>
    </row>
    <row r="4" spans="2:19" s="2" customFormat="1" ht="19.899999999999999" customHeight="1">
      <c r="B4" s="3"/>
      <c r="C4" s="21" t="s">
        <v>36</v>
      </c>
    </row>
    <row r="5" spans="2:19" s="2" customFormat="1" ht="12.6" customHeight="1">
      <c r="B5" s="3"/>
      <c r="C5" s="4"/>
    </row>
    <row r="6" spans="2:19" s="2" customFormat="1" ht="13.15" customHeight="1">
      <c r="B6" s="3"/>
      <c r="C6" s="5"/>
      <c r="D6" s="6"/>
      <c r="E6" s="6"/>
    </row>
    <row r="7" spans="2:19" s="2" customFormat="1" ht="12.75" customHeight="1">
      <c r="B7" s="3"/>
      <c r="C7" s="192" t="s">
        <v>90</v>
      </c>
      <c r="D7" s="6"/>
      <c r="E7" s="14"/>
    </row>
    <row r="8" spans="2:19" s="2" customFormat="1" ht="12.75" customHeight="1">
      <c r="B8" s="3"/>
      <c r="C8" s="192"/>
      <c r="D8" s="6"/>
      <c r="E8" s="14"/>
    </row>
    <row r="9" spans="2:19" s="2" customFormat="1" ht="18" customHeight="1">
      <c r="B9" s="3"/>
      <c r="C9" s="192"/>
      <c r="D9" s="6"/>
      <c r="E9" s="14"/>
      <c r="F9" s="63" t="str">
        <f>MID('Data 1'!B62,1,1)</f>
        <v>M</v>
      </c>
      <c r="R9" s="97"/>
      <c r="S9" s="100"/>
    </row>
    <row r="10" spans="2:19" s="2" customFormat="1" ht="12.75" customHeight="1">
      <c r="B10" s="3"/>
      <c r="D10" s="6"/>
      <c r="E10" s="14"/>
      <c r="F10" s="63" t="str">
        <f>MID('Data 1'!B63,1,1)</f>
        <v>J</v>
      </c>
      <c r="R10" s="97"/>
      <c r="S10" s="100"/>
    </row>
    <row r="11" spans="2:19" s="2" customFormat="1" ht="12.75" customHeight="1">
      <c r="B11" s="3"/>
      <c r="C11" s="10"/>
      <c r="D11" s="6"/>
      <c r="E11" s="14"/>
      <c r="F11" s="63" t="str">
        <f>MID('Data 1'!B64,1,1)</f>
        <v>J</v>
      </c>
      <c r="R11" s="97"/>
      <c r="S11" s="100"/>
    </row>
    <row r="12" spans="2:19" s="2" customFormat="1" ht="12.75" customHeight="1">
      <c r="B12" s="3"/>
      <c r="C12" s="41"/>
      <c r="D12" s="6"/>
      <c r="E12" s="14"/>
      <c r="F12" s="63" t="str">
        <f>MID('Data 1'!B65,1,1)</f>
        <v>A</v>
      </c>
      <c r="R12" s="97"/>
      <c r="S12" s="100"/>
    </row>
    <row r="13" spans="2:19" s="2" customFormat="1" ht="12.75" customHeight="1">
      <c r="B13" s="3"/>
      <c r="C13" s="5"/>
      <c r="D13" s="6"/>
      <c r="E13" s="14"/>
      <c r="F13" s="63" t="str">
        <f>MID('Data 1'!B66,1,1)</f>
        <v>S</v>
      </c>
      <c r="R13" s="97"/>
      <c r="S13" s="100"/>
    </row>
    <row r="14" spans="2:19" s="2" customFormat="1" ht="12.75" customHeight="1">
      <c r="B14" s="3"/>
      <c r="C14" s="5"/>
      <c r="D14" s="6"/>
      <c r="E14" s="14"/>
      <c r="F14" s="63" t="str">
        <f>MID('Data 1'!B67,1,1)</f>
        <v>O</v>
      </c>
      <c r="R14" s="97"/>
      <c r="S14" s="100"/>
    </row>
    <row r="15" spans="2:19" s="2" customFormat="1" ht="12.75" customHeight="1">
      <c r="B15" s="3"/>
      <c r="C15" s="5"/>
      <c r="D15" s="6"/>
      <c r="E15" s="14"/>
      <c r="F15" s="63" t="str">
        <f>MID('Data 1'!B68,1,1)</f>
        <v>N</v>
      </c>
      <c r="R15" s="97"/>
      <c r="S15" s="100"/>
    </row>
    <row r="16" spans="2:19" s="2" customFormat="1" ht="12.75" customHeight="1">
      <c r="B16" s="3"/>
      <c r="C16" s="5"/>
      <c r="D16" s="6"/>
      <c r="E16" s="14"/>
      <c r="F16" s="63" t="str">
        <f>MID('Data 1'!B69,1,1)</f>
        <v>D</v>
      </c>
      <c r="R16" s="97"/>
      <c r="S16" s="100"/>
    </row>
    <row r="17" spans="2:19" s="2" customFormat="1" ht="12.75" customHeight="1">
      <c r="B17" s="3"/>
      <c r="C17" s="5"/>
      <c r="D17" s="6"/>
      <c r="E17" s="14"/>
      <c r="F17" s="63" t="str">
        <f>MID('Data 1'!B70,1,1)</f>
        <v>E</v>
      </c>
      <c r="R17" s="97"/>
      <c r="S17" s="100"/>
    </row>
    <row r="18" spans="2:19" s="2" customFormat="1" ht="12.75" customHeight="1">
      <c r="B18" s="3"/>
      <c r="C18" s="5"/>
      <c r="D18" s="6"/>
      <c r="E18" s="14"/>
      <c r="F18" s="63" t="str">
        <f>MID('Data 1'!B71,1,1)</f>
        <v>F</v>
      </c>
      <c r="R18" s="97"/>
      <c r="S18" s="100"/>
    </row>
    <row r="19" spans="2:19" s="2" customFormat="1" ht="12.75" customHeight="1">
      <c r="B19" s="3"/>
      <c r="C19" s="5"/>
      <c r="D19" s="6"/>
      <c r="E19" s="14"/>
      <c r="F19" s="63" t="str">
        <f>MID('Data 1'!B72,1,1)</f>
        <v>M</v>
      </c>
      <c r="R19" s="97"/>
      <c r="S19" s="100"/>
    </row>
    <row r="20" spans="2:19" s="2" customFormat="1" ht="12.75" customHeight="1">
      <c r="B20" s="3"/>
      <c r="C20" s="5"/>
      <c r="D20" s="6"/>
      <c r="E20" s="14"/>
      <c r="F20" s="63" t="str">
        <f>MID('Data 1'!B73,1,1)</f>
        <v>A</v>
      </c>
      <c r="R20" s="97"/>
      <c r="S20" s="100"/>
    </row>
    <row r="21" spans="2:19" s="2" customFormat="1" ht="12.75" customHeight="1">
      <c r="B21" s="3"/>
      <c r="C21" s="5"/>
      <c r="D21" s="6"/>
      <c r="E21" s="14"/>
      <c r="F21" s="63" t="str">
        <f>MID('Data 1'!B74,1,1)</f>
        <v>M</v>
      </c>
      <c r="R21" s="97"/>
      <c r="S21" s="100"/>
    </row>
    <row r="22" spans="2:19">
      <c r="E22" s="14"/>
      <c r="F22" s="2"/>
      <c r="R22" s="98"/>
    </row>
    <row r="23" spans="2:19">
      <c r="E23" s="14"/>
      <c r="F23" s="2"/>
      <c r="R23" s="99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36"/>
  <sheetViews>
    <sheetView showGridLines="0" showRowColHeaders="0" zoomScaleNormal="100" workbookViewId="0">
      <selection activeCell="H36" sqref="H36"/>
    </sheetView>
  </sheetViews>
  <sheetFormatPr baseColWidth="10" defaultRowHeight="12.75"/>
  <cols>
    <col min="1" max="1" width="3.85546875" style="22" customWidth="1"/>
    <col min="2" max="2" width="23.7109375" style="22" customWidth="1"/>
    <col min="3" max="3" width="11.42578125" style="22"/>
    <col min="4" max="4" width="12.42578125" style="22" customWidth="1"/>
    <col min="5" max="5" width="11.28515625" style="22" customWidth="1"/>
    <col min="6" max="6" width="11.42578125" style="22"/>
    <col min="7" max="7" width="12.140625" style="22" customWidth="1"/>
    <col min="8" max="10" width="11.42578125" style="22"/>
    <col min="11" max="11" width="13" style="22" customWidth="1"/>
    <col min="12" max="16384" width="11.42578125" style="22"/>
  </cols>
  <sheetData>
    <row r="1" spans="1:8">
      <c r="A1" s="22" t="s">
        <v>4</v>
      </c>
    </row>
    <row r="2" spans="1:8">
      <c r="H2" s="19" t="s">
        <v>37</v>
      </c>
    </row>
    <row r="3" spans="1:8">
      <c r="H3" s="96" t="s">
        <v>194</v>
      </c>
    </row>
    <row r="4" spans="1:8">
      <c r="B4" s="21" t="s">
        <v>36</v>
      </c>
    </row>
    <row r="7" spans="1:8" ht="12.75" customHeight="1">
      <c r="B7" s="193" t="s">
        <v>56</v>
      </c>
    </row>
    <row r="8" spans="1:8">
      <c r="B8" s="193"/>
    </row>
    <row r="9" spans="1:8">
      <c r="B9" s="52" t="s">
        <v>16</v>
      </c>
    </row>
    <row r="27" spans="5:19">
      <c r="P27" s="23"/>
      <c r="Q27" s="24"/>
      <c r="R27" s="23"/>
      <c r="S27" s="24"/>
    </row>
    <row r="28" spans="5:19">
      <c r="P28" s="25"/>
      <c r="Q28" s="26"/>
      <c r="R28" s="25"/>
      <c r="S28" s="26"/>
    </row>
    <row r="30" spans="5:19">
      <c r="E30" s="80"/>
      <c r="F30" s="80"/>
      <c r="G30" s="80"/>
      <c r="H30" s="80"/>
    </row>
    <row r="32" spans="5:19">
      <c r="J32" s="27"/>
      <c r="K32" s="28"/>
      <c r="L32" s="28"/>
      <c r="M32" s="28"/>
      <c r="N32" s="28"/>
    </row>
    <row r="33" spans="10:15">
      <c r="J33" s="27"/>
      <c r="K33" s="28"/>
      <c r="L33" s="28"/>
      <c r="M33" s="28"/>
      <c r="N33" s="28"/>
      <c r="O33" s="28"/>
    </row>
    <row r="34" spans="10:15">
      <c r="J34" s="28"/>
      <c r="K34" s="28"/>
      <c r="L34" s="28"/>
      <c r="M34" s="28"/>
      <c r="N34" s="28"/>
    </row>
    <row r="35" spans="10:15">
      <c r="J35" s="28"/>
      <c r="K35" s="28"/>
      <c r="L35" s="28"/>
      <c r="M35" s="28"/>
      <c r="N35" s="28"/>
    </row>
    <row r="36" spans="10:15">
      <c r="K36" s="29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AM82"/>
  <sheetViews>
    <sheetView showGridLines="0" showRowColHeaders="0" showOutlineSymbols="0" topLeftCell="A2" zoomScale="80" zoomScaleNormal="80" workbookViewId="0">
      <selection activeCell="I34" sqref="I34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20" width="9.42578125" customWidth="1"/>
    <col min="24" max="36" width="13.28515625" bestFit="1" customWidth="1"/>
  </cols>
  <sheetData>
    <row r="1" spans="2:39" s="1" customFormat="1" ht="0.6" customHeight="1"/>
    <row r="2" spans="2:39" s="1" customFormat="1" ht="21" customHeight="1">
      <c r="E2" s="19" t="s">
        <v>37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6" t="s">
        <v>194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899999999999999" customHeight="1">
      <c r="C4" s="21" t="s">
        <v>36</v>
      </c>
    </row>
    <row r="5" spans="2:39" s="2" customFormat="1" ht="12.6" customHeight="1">
      <c r="B5" s="3"/>
      <c r="C5" s="4"/>
    </row>
    <row r="6" spans="2:39" s="2" customFormat="1" ht="13.15" customHeight="1">
      <c r="B6" s="3"/>
      <c r="C6" s="5"/>
      <c r="D6" s="6"/>
      <c r="E6" s="6"/>
    </row>
    <row r="7" spans="2:39" s="2" customFormat="1" ht="12.75" customHeight="1">
      <c r="B7" s="3"/>
      <c r="C7" s="193" t="s">
        <v>33</v>
      </c>
      <c r="D7" s="6"/>
      <c r="E7" s="14"/>
    </row>
    <row r="8" spans="2:39" s="2" customFormat="1" ht="12.75" customHeight="1">
      <c r="B8" s="3"/>
      <c r="C8" s="193"/>
      <c r="D8" s="6"/>
      <c r="E8" s="14"/>
    </row>
    <row r="9" spans="2:39" s="2" customFormat="1" ht="12.75" customHeight="1">
      <c r="B9" s="3"/>
      <c r="C9" s="193"/>
      <c r="D9" s="6"/>
      <c r="E9" s="14"/>
    </row>
    <row r="10" spans="2:39" s="2" customFormat="1" ht="12.75" customHeight="1">
      <c r="B10" s="3"/>
      <c r="C10" s="193"/>
      <c r="D10" s="6"/>
      <c r="E10" s="14"/>
    </row>
    <row r="11" spans="2:39" s="2" customFormat="1" ht="12.75" customHeight="1">
      <c r="B11" s="3"/>
      <c r="C11" s="52"/>
      <c r="D11" s="6"/>
      <c r="E11" s="11"/>
    </row>
    <row r="12" spans="2:39" s="2" customFormat="1" ht="12.75" customHeight="1">
      <c r="B12" s="3"/>
      <c r="C12" s="52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92" customFormat="1" ht="12.75" customHeight="1">
      <c r="C16" s="93"/>
      <c r="D16" s="94"/>
      <c r="E16" s="95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92"/>
      <c r="AM19" s="92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149999999999999" customHeight="1">
      <c r="E25" s="42" t="s">
        <v>34</v>
      </c>
    </row>
    <row r="34" spans="6:6">
      <c r="F34" s="86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/>
  </sheetPr>
  <dimension ref="A1:J82"/>
  <sheetViews>
    <sheetView showGridLines="0" showRowColHeaders="0" showOutlineSymbols="0" topLeftCell="A2" zoomScaleNormal="100" workbookViewId="0">
      <selection activeCell="G19" sqref="G19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0.7109375" style="1" customWidth="1"/>
    <col min="6" max="6" width="17.140625" style="8" bestFit="1" customWidth="1"/>
    <col min="7" max="7" width="17.140625" bestFit="1" customWidth="1"/>
    <col min="8" max="9" width="9.42578125" customWidth="1"/>
    <col min="11" max="11" width="26.7109375" bestFit="1" customWidth="1"/>
    <col min="12" max="12" width="12.140625" bestFit="1" customWidth="1"/>
    <col min="13" max="13" width="35.140625" bestFit="1" customWidth="1"/>
    <col min="14" max="14" width="20.28515625" bestFit="1" customWidth="1"/>
    <col min="15" max="15" width="28.140625" bestFit="1" customWidth="1"/>
    <col min="16" max="16" width="12.140625" bestFit="1" customWidth="1"/>
    <col min="17" max="17" width="35.140625" bestFit="1" customWidth="1"/>
    <col min="18" max="18" width="20.28515625" bestFit="1" customWidth="1"/>
  </cols>
  <sheetData>
    <row r="1" spans="2:9" s="1" customFormat="1" ht="0.6" customHeight="1"/>
    <row r="2" spans="2:9" s="1" customFormat="1" ht="21" customHeight="1">
      <c r="E2" s="194" t="s">
        <v>37</v>
      </c>
      <c r="F2" s="194"/>
      <c r="G2" s="194"/>
      <c r="H2" s="12"/>
      <c r="I2" s="12"/>
    </row>
    <row r="3" spans="2:9" s="1" customFormat="1" ht="15" customHeight="1">
      <c r="E3" s="195" t="s">
        <v>194</v>
      </c>
      <c r="F3" s="195"/>
      <c r="G3" s="195"/>
      <c r="H3" s="13"/>
      <c r="I3" s="13"/>
    </row>
    <row r="4" spans="2:9" s="2" customFormat="1" ht="19.899999999999999" customHeight="1">
      <c r="C4" s="21" t="s">
        <v>36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  <c r="F6" s="91"/>
    </row>
    <row r="7" spans="2:9" s="71" customFormat="1" ht="15" customHeight="1">
      <c r="B7" s="68"/>
      <c r="C7" s="193" t="s">
        <v>137</v>
      </c>
      <c r="D7" s="69"/>
      <c r="E7" s="70"/>
      <c r="F7" s="90"/>
      <c r="G7" s="90"/>
    </row>
    <row r="8" spans="2:9" s="71" customFormat="1" ht="15" customHeight="1">
      <c r="B8" s="68"/>
      <c r="C8" s="193"/>
      <c r="D8" s="69"/>
      <c r="E8" s="72"/>
      <c r="F8" s="73" t="s">
        <v>230</v>
      </c>
      <c r="G8" s="73" t="s">
        <v>194</v>
      </c>
    </row>
    <row r="9" spans="2:9" s="2" customFormat="1" ht="15" customHeight="1">
      <c r="B9" s="3"/>
      <c r="C9" s="52"/>
      <c r="D9" s="6"/>
      <c r="E9" s="66" t="s">
        <v>64</v>
      </c>
      <c r="F9" s="103">
        <f>-VLOOKUP("Restricciones PBF - Coste",'Data 1'!F107:H125,3,FALSE)/1000000</f>
        <v>58.753432159999996</v>
      </c>
      <c r="G9" s="103">
        <f>-VLOOKUP("Restricciones PBF - Coste",'Data 1'!B107:D125,3,FALSE)/1000000</f>
        <v>29.225780969999999</v>
      </c>
    </row>
    <row r="10" spans="2:9" s="2" customFormat="1" ht="15" customHeight="1">
      <c r="B10" s="3"/>
      <c r="C10" s="193"/>
      <c r="D10" s="6"/>
      <c r="E10" s="66" t="s">
        <v>65</v>
      </c>
      <c r="F10" s="103">
        <f>-VLOOKUP("Restricciones tiempo real (SC)",'Data 1'!F107:H125,3,FALSE)/1000000</f>
        <v>2.5577810299999997</v>
      </c>
      <c r="G10" s="103">
        <f>-VLOOKUP("Restricciones tiempo real (SC)",'Data 1'!B107:D125,3,FALSE)/1000000</f>
        <v>0.69077535000000001</v>
      </c>
    </row>
    <row r="11" spans="2:9" s="2" customFormat="1" ht="15" customHeight="1">
      <c r="B11" s="3"/>
      <c r="C11" s="193"/>
      <c r="D11" s="6"/>
      <c r="E11" s="66" t="s">
        <v>59</v>
      </c>
      <c r="F11" s="103">
        <f>SUM(F9:F10)</f>
        <v>61.311213189999997</v>
      </c>
      <c r="G11" s="103">
        <f>SUM(G9:G10)</f>
        <v>29.916556319999998</v>
      </c>
    </row>
    <row r="12" spans="2:9" s="2" customFormat="1" ht="15" customHeight="1">
      <c r="B12" s="3"/>
      <c r="C12" s="193"/>
      <c r="D12" s="6"/>
      <c r="E12" s="66" t="s">
        <v>24</v>
      </c>
      <c r="F12" s="103">
        <f>-VLOOKUP("Banda secundaria - CF",'Data 1'!F107:H125,3,FALSE)/1000000</f>
        <v>18.20129721</v>
      </c>
      <c r="G12" s="103">
        <f>-VLOOKUP("Banda secundaria - CF",'Data 1'!B107:D125,3,FALSE)/1000000</f>
        <v>13.018145369999999</v>
      </c>
    </row>
    <row r="13" spans="2:9" s="2" customFormat="1" ht="15" customHeight="1">
      <c r="B13" s="3"/>
      <c r="C13" s="5"/>
      <c r="D13" s="6"/>
      <c r="E13" s="66" t="s">
        <v>27</v>
      </c>
      <c r="F13" s="103">
        <f>-IFERROR(VLOOKUP("Reserva subir - Coste",'Data 1'!F107:H125,3,FALSE)/1000000,0)</f>
        <v>6.0808259400000004</v>
      </c>
      <c r="G13" s="103">
        <f>-IFERROR(VLOOKUP("Reserva subir - Coste",'Data 1'!B107:D125,3,FALSE)/1000000,0)</f>
        <v>8.9999999999999993E-3</v>
      </c>
    </row>
    <row r="14" spans="2:9" s="2" customFormat="1" ht="15" customHeight="1">
      <c r="B14" s="3"/>
      <c r="C14" s="5"/>
      <c r="D14" s="6"/>
      <c r="E14" s="66" t="s">
        <v>17</v>
      </c>
      <c r="F14" s="103">
        <f>-(IFERROR(VLOOKUP("Gestión de desvíos",'Data 1'!F107:H125,3,FALSE)/1000000,0)+IFERROR(VLOOKUP("Regulación terciaria",'Data 1'!F107:H125,3,FALSE)/1000000,0)+IFERROR(VLOOKUP("Gestión de desvíos y terciaria (I)",'Data 1'!F107:H125,3,FALSE)/1000000,0)+IFERROR(VLOOKUP("Regulación secundaria",'Data 1'!F107:H125,3,FALSE)/1000000,0)+IFERROR(VLOOKUP("Servicios transfronterizos balance",'Data 1'!F107:H125,3,FALSE)/1000000,0)+IFERROR(VLOOKUP("Desvíos",'Data 1'!F107:H125,3,FALSE)/1000000,0)+IFERROR(VLOOKUP("Desvío entre sistemas",'Data 1'!F107:H125,3,FALSE)/1000000,0)+IFERROR(VLOOKUP("Reducción servicio interrumpibilidad",'Data 1'!F107:H125,3,FALSE)/1000000,0)+IFERROR(VLOOKUP("Enlace balear RP48",'Data 1'!F107:H125,3,FALSE)/1000000,0)+IFERROR(VLOOKUP("Acciones de balance",'Data 1'!F107:H125,3,FALSE)/1000000,0))</f>
        <v>1.0722512700000009</v>
      </c>
      <c r="G14" s="103">
        <f>-(IFERROR(VLOOKUP("Gestión de desvíos",'Data 1'!B107:D125,3,FALSE)/1000000,0)+IFERROR(VLOOKUP("Regulación terciaria",'Data 1'!B107:D125,3,FALSE)/1000000,0)+IFERROR(VLOOKUP("Gestión de desvíos y terciaria (I)",'Data 1'!B107:D125,3,FALSE)/1000000,0)+IFERROR(VLOOKUP("Regulación secundaria",'Data 1'!B107:D125,3,FALSE)/1000000,0)+IFERROR(VLOOKUP("Servicios transfronterizos balance",'Data 1'!B107:D125,3,FALSE)/1000000,0)+IFERROR(VLOOKUP("Desvíos",'Data 1'!B107:D125,3,FALSE)/1000000,0)+IFERROR(VLOOKUP("Desvío entre sistemas",'Data 1'!B107:D125,3,FALSE)/1000000,0)+IFERROR(VLOOKUP("Reducción servicio interrumpibilidad",'Data 1'!B107:D125,3,FALSE)/1000000,0)+IFERROR(VLOOKUP("Enlace balear RP48",'Data 1'!B107:D125,3,FALSE)/1000000,0)+IFERROR(VLOOKUP("Acciones de balance",'Data 1'!B107:D125,3,FALSE)/1000000,0))</f>
        <v>0.34856995999999829</v>
      </c>
    </row>
    <row r="15" spans="2:9" s="2" customFormat="1" ht="15" customHeight="1">
      <c r="B15" s="3"/>
      <c r="C15" s="5"/>
      <c r="D15" s="6"/>
      <c r="E15" s="66" t="s">
        <v>42</v>
      </c>
      <c r="F15" s="103">
        <f>-IFERROR(VLOOKUP("Saldo desvíos",'Data 1'!F107:H125,3,FALSE)/1000000,0)</f>
        <v>-0.89484469</v>
      </c>
      <c r="G15" s="103">
        <f>-IFERROR(VLOOKUP("Saldo desvíos",'Data 1'!B107:D125,3,FALSE)/1000000,0)</f>
        <v>-0.72323174000000001</v>
      </c>
    </row>
    <row r="16" spans="2:9" s="2" customFormat="1" ht="15" customHeight="1">
      <c r="B16" s="3"/>
      <c r="C16" s="5"/>
      <c r="D16" s="6"/>
      <c r="E16" s="66" t="s">
        <v>60</v>
      </c>
      <c r="F16" s="103">
        <f>-IFERROR(VLOOKUP("Control del factor de potencia",'Data 1'!F107:H125,3,FALSE)/1000000,0)</f>
        <v>0</v>
      </c>
      <c r="G16" s="103">
        <f>-IFERROR(VLOOKUP("Control del factor de potencia",'Data 1'!B107:D125,3,FALSE)/1000000,0)</f>
        <v>0</v>
      </c>
    </row>
    <row r="17" spans="2:10" s="2" customFormat="1" ht="15" customHeight="1">
      <c r="B17" s="3"/>
      <c r="C17" s="5"/>
      <c r="D17" s="6"/>
      <c r="E17" s="67" t="s">
        <v>61</v>
      </c>
      <c r="F17" s="104">
        <f>SUM(F11:F16)</f>
        <v>85.770742919999989</v>
      </c>
      <c r="G17" s="104">
        <f>SUM(G11:G16)</f>
        <v>42.569039909999994</v>
      </c>
    </row>
    <row r="18" spans="2:10" s="2" customFormat="1" ht="15" customHeight="1">
      <c r="B18" s="3"/>
      <c r="C18" s="5"/>
      <c r="D18" s="5"/>
      <c r="E18" s="74" t="s">
        <v>157</v>
      </c>
      <c r="F18" s="65"/>
      <c r="G18" s="75">
        <f>(G17-F17)/F17</f>
        <v>-0.50368810551512944</v>
      </c>
      <c r="I18" s="5"/>
      <c r="J18" s="5"/>
    </row>
    <row r="19" spans="2:10" s="2" customFormat="1" ht="12.75" customHeight="1">
      <c r="B19" s="3"/>
      <c r="C19" s="5"/>
      <c r="D19" s="6"/>
      <c r="E19" s="5"/>
      <c r="H19" s="64"/>
      <c r="I19" s="64"/>
    </row>
    <row r="20" spans="2:10" s="2" customFormat="1" ht="12.75" customHeight="1">
      <c r="B20" s="3"/>
      <c r="C20" s="5"/>
      <c r="D20" s="5"/>
      <c r="E20" s="5"/>
    </row>
    <row r="21" spans="2:10" s="2" customFormat="1" ht="12.75" customHeight="1">
      <c r="B21" s="3"/>
      <c r="C21" s="5"/>
      <c r="D21" s="5"/>
      <c r="E21" s="5"/>
    </row>
    <row r="25" spans="2:10" ht="16.149999999999999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A1:I82"/>
  <sheetViews>
    <sheetView showGridLines="0" showRowColHeaders="0" showOutlineSymbols="0" topLeftCell="A2" zoomScaleNormal="100" workbookViewId="0">
      <selection activeCell="C10" sqref="C10:C1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9" width="9.42578125" customWidth="1"/>
  </cols>
  <sheetData>
    <row r="1" spans="2:9" s="1" customFormat="1" ht="0.6" customHeight="1"/>
    <row r="2" spans="2:9" s="1" customFormat="1" ht="21" customHeight="1">
      <c r="E2" s="19" t="s">
        <v>37</v>
      </c>
      <c r="F2" s="12"/>
      <c r="G2" s="12"/>
      <c r="H2" s="12"/>
      <c r="I2" s="12"/>
    </row>
    <row r="3" spans="2:9" s="1" customFormat="1" ht="15" customHeight="1">
      <c r="E3" s="20" t="s">
        <v>194</v>
      </c>
      <c r="F3" s="13"/>
      <c r="G3" s="13"/>
      <c r="H3" s="13"/>
      <c r="I3" s="13"/>
    </row>
    <row r="4" spans="2:9" s="2" customFormat="1" ht="19.899999999999999" customHeight="1">
      <c r="C4" s="21" t="s">
        <v>36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</row>
    <row r="7" spans="2:9" s="2" customFormat="1" ht="12.75" customHeight="1">
      <c r="B7" s="3"/>
      <c r="C7" s="193" t="s">
        <v>62</v>
      </c>
      <c r="D7" s="6"/>
      <c r="E7" s="14"/>
    </row>
    <row r="8" spans="2:9" s="2" customFormat="1" ht="12.75" customHeight="1">
      <c r="B8" s="3"/>
      <c r="C8" s="193"/>
      <c r="D8" s="6"/>
      <c r="E8" s="14"/>
    </row>
    <row r="9" spans="2:9" s="2" customFormat="1" ht="12.75" customHeight="1">
      <c r="B9" s="3"/>
      <c r="C9" s="52" t="s">
        <v>63</v>
      </c>
      <c r="D9" s="6"/>
      <c r="E9" s="14"/>
    </row>
    <row r="10" spans="2:9" s="2" customFormat="1" ht="12.75" customHeight="1">
      <c r="B10" s="3"/>
      <c r="C10" s="193"/>
      <c r="D10" s="6"/>
      <c r="E10" s="14"/>
    </row>
    <row r="11" spans="2:9" s="2" customFormat="1" ht="12.75" customHeight="1">
      <c r="B11" s="3"/>
      <c r="C11" s="193"/>
      <c r="D11" s="6"/>
      <c r="E11" s="11"/>
    </row>
    <row r="12" spans="2:9" s="2" customFormat="1" ht="12.75" customHeight="1">
      <c r="B12" s="3"/>
      <c r="C12" s="193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4"/>
      <c r="I18" s="64"/>
    </row>
    <row r="19" spans="2:9" s="2" customFormat="1" ht="12.75" customHeight="1">
      <c r="B19" s="3"/>
      <c r="C19" s="5"/>
      <c r="D19" s="6"/>
      <c r="E19" s="11"/>
      <c r="H19" s="64"/>
      <c r="I19" s="64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149999999999999" customHeight="1">
      <c r="E25" s="42"/>
    </row>
    <row r="82" spans="2:2">
      <c r="B82" s="9"/>
    </row>
  </sheetData>
  <mergeCells count="2">
    <mergeCell ref="C10:C12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AL72"/>
  <sheetViews>
    <sheetView showGridLines="0" showRowColHeaders="0" topLeftCell="A4" zoomScaleNormal="100" workbookViewId="0">
      <selection activeCell="S17" sqref="S17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4" width="11.42578125" style="30"/>
    <col min="15" max="15" width="17" style="30" bestFit="1" customWidth="1"/>
    <col min="16" max="16384" width="11.42578125" style="30"/>
  </cols>
  <sheetData>
    <row r="1" spans="1:38">
      <c r="L1" s="19" t="s">
        <v>37</v>
      </c>
    </row>
    <row r="2" spans="1:38">
      <c r="L2" s="20" t="s">
        <v>194</v>
      </c>
    </row>
    <row r="4" spans="1:38">
      <c r="A4" s="33"/>
      <c r="B4" s="21" t="s">
        <v>36</v>
      </c>
      <c r="C4" s="33"/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  <c r="AB4" s="77" t="s">
        <v>13</v>
      </c>
    </row>
    <row r="5" spans="1:38" s="34" customFormat="1"/>
    <row r="6" spans="1:38" s="34" customFormat="1"/>
    <row r="7" spans="1:38" ht="12.75" customHeight="1">
      <c r="B7" s="193" t="s">
        <v>44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193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>
      <c r="B9" s="52" t="s">
        <v>87</v>
      </c>
      <c r="F9" s="35"/>
      <c r="G9" s="35"/>
    </row>
    <row r="10" spans="1:38">
      <c r="B10" s="193"/>
      <c r="F10" s="35"/>
      <c r="G10" s="35"/>
    </row>
    <row r="11" spans="1:38">
      <c r="B11" s="193"/>
      <c r="F11" s="35"/>
      <c r="G11" s="35"/>
    </row>
    <row r="12" spans="1:38" s="34" customFormat="1">
      <c r="B12" s="193"/>
      <c r="F12" s="35"/>
      <c r="G12" s="35"/>
    </row>
    <row r="13" spans="1:38">
      <c r="B13" s="193"/>
      <c r="F13" s="35"/>
      <c r="G13" s="35"/>
      <c r="H13" s="36"/>
      <c r="I13" s="36"/>
      <c r="J13" s="36"/>
      <c r="K13" s="36"/>
      <c r="L13" s="36"/>
      <c r="M13" s="36"/>
      <c r="AC13" s="36"/>
      <c r="AD13" s="36"/>
      <c r="AE13" s="36"/>
      <c r="AF13" s="36"/>
      <c r="AG13" s="36"/>
      <c r="AH13" s="36"/>
      <c r="AI13" s="36"/>
      <c r="AJ13" s="36"/>
    </row>
    <row r="14" spans="1:38">
      <c r="F14" s="35"/>
      <c r="G14" s="35"/>
    </row>
    <row r="15" spans="1:38">
      <c r="F15" s="35"/>
      <c r="G15" s="35"/>
    </row>
    <row r="16" spans="1:38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>
      <c r="F34" s="35"/>
      <c r="G34" s="35"/>
    </row>
    <row r="35" spans="1:7">
      <c r="F35" s="35"/>
      <c r="G35" s="35"/>
    </row>
    <row r="36" spans="1:7" ht="12.75" customHeight="1"/>
    <row r="40" spans="1:7" s="22" customFormat="1">
      <c r="A40" s="30"/>
      <c r="B40" s="30"/>
    </row>
    <row r="41" spans="1:7" s="22" customFormat="1">
      <c r="A41" s="30"/>
      <c r="B41" s="30"/>
    </row>
    <row r="42" spans="1:7" s="22" customFormat="1">
      <c r="A42" s="30"/>
      <c r="B42" s="30"/>
    </row>
    <row r="57" spans="10:16">
      <c r="J57" s="31"/>
      <c r="K57" s="38"/>
      <c r="L57" s="39"/>
      <c r="M57" s="39"/>
      <c r="N57" s="38"/>
      <c r="O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>
      <c r="K65" s="31"/>
      <c r="L65" s="38"/>
      <c r="M65" s="39"/>
      <c r="N65" s="39"/>
      <c r="O65" s="38"/>
      <c r="P65" s="38"/>
    </row>
    <row r="66" spans="1:16">
      <c r="K66" s="31"/>
      <c r="L66" s="38"/>
      <c r="M66" s="39"/>
      <c r="N66" s="39"/>
      <c r="O66" s="38"/>
      <c r="P66" s="38"/>
    </row>
    <row r="67" spans="1:16" s="22" customFormat="1"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8"/>
      <c r="M67" s="39"/>
      <c r="N67" s="40"/>
      <c r="O67" s="38"/>
      <c r="P67" s="38"/>
    </row>
    <row r="68" spans="1:16" s="22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8"/>
      <c r="M68" s="40"/>
      <c r="N68" s="40"/>
      <c r="O68" s="38"/>
      <c r="P68" s="38"/>
    </row>
    <row r="69" spans="1:16">
      <c r="A69" s="22"/>
      <c r="K69" s="32"/>
      <c r="M69" s="39"/>
      <c r="N69" s="39"/>
      <c r="O69" s="38"/>
      <c r="P69" s="38"/>
    </row>
    <row r="70" spans="1:16">
      <c r="A70" s="22"/>
      <c r="B70" s="22"/>
      <c r="C70" s="22"/>
      <c r="D70" s="40"/>
      <c r="E70" s="40"/>
      <c r="F70" s="40"/>
      <c r="G70" s="40"/>
      <c r="H70" s="40"/>
      <c r="J70" s="37"/>
    </row>
    <row r="71" spans="1:16">
      <c r="J71" s="37"/>
    </row>
    <row r="72" spans="1:16">
      <c r="F72" s="35"/>
      <c r="G72" s="35"/>
      <c r="J72" s="37"/>
    </row>
  </sheetData>
  <mergeCells count="2">
    <mergeCell ref="B7:B8"/>
    <mergeCell ref="B10:B13"/>
  </mergeCells>
  <conditionalFormatting sqref="K69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Indice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Data 1</vt:lpstr>
      <vt:lpstr>Data 2</vt:lpstr>
      <vt:lpstr>'M1'!Área_de_impresión</vt:lpstr>
      <vt:lpstr>'M10'!Área_de_impresión</vt:lpstr>
      <vt:lpstr>'M11'!Área_de_impresión</vt:lpstr>
      <vt:lpstr>'M12'!Área_de_impresión</vt:lpstr>
      <vt:lpstr>'M13'!Área_de_impresión</vt:lpstr>
      <vt:lpstr>'M14'!Área_de_impresión</vt:lpstr>
      <vt:lpstr>'M2'!Área_de_impresión</vt:lpstr>
      <vt:lpstr>'M3'!Área_de_impresión</vt:lpstr>
      <vt:lpstr>'M5'!Área_de_impresión</vt:lpstr>
      <vt:lpstr>'M6'!Área_de_impresión</vt:lpstr>
      <vt:lpstr>'M7'!Área_de_impresión</vt:lpstr>
      <vt:lpstr>'M8'!Área_de_impresión</vt:lpstr>
      <vt:lpstr>'M9'!Área_de_impresión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FUEPERRO</cp:lastModifiedBy>
  <cp:lastPrinted>2016-08-30T06:59:14Z</cp:lastPrinted>
  <dcterms:created xsi:type="dcterms:W3CDTF">1999-07-09T11:45:32Z</dcterms:created>
  <dcterms:modified xsi:type="dcterms:W3CDTF">2017-06-12T10:23:39Z</dcterms:modified>
</cp:coreProperties>
</file>