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MAR\INF_ELABORADA\"/>
    </mc:Choice>
  </mc:AlternateContent>
  <bookViews>
    <workbookView xWindow="0" yWindow="0" windowWidth="19395" windowHeight="7440" tabRatio="1000"/>
  </bookViews>
  <sheets>
    <sheet name="Indice" sheetId="92" r:id="rId1"/>
    <sheet name="M1" sheetId="70" r:id="rId2"/>
    <sheet name="M2" sheetId="71" r:id="rId3"/>
    <sheet name="M3" sheetId="3" r:id="rId4"/>
    <sheet name="M4" sheetId="53" r:id="rId5"/>
    <sheet name="M5" sheetId="10" r:id="rId6"/>
    <sheet name="M6" sheetId="76" r:id="rId7"/>
    <sheet name="M7" sheetId="75" r:id="rId8"/>
    <sheet name="M8" sheetId="58" r:id="rId9"/>
    <sheet name="M9" sheetId="77" r:id="rId10"/>
    <sheet name="M10" sheetId="83" r:id="rId11"/>
    <sheet name="M11" sheetId="85" r:id="rId12"/>
    <sheet name="M12" sheetId="86" r:id="rId13"/>
    <sheet name="M13" sheetId="87" r:id="rId14"/>
    <sheet name="M14" sheetId="84" r:id="rId15"/>
    <sheet name="Data 1" sheetId="88" r:id="rId16"/>
    <sheet name="Data 2" sheetId="91" r:id="rId17"/>
  </sheets>
  <externalReferences>
    <externalReference r:id="rId18"/>
    <externalReference r:id="rId19"/>
  </externalReferences>
  <definedNames>
    <definedName name="_xlnm.Print_Area" localSheetId="1">'M1'!$B$2:$K$63</definedName>
    <definedName name="_xlnm.Print_Area" localSheetId="10">'M10'!$A$4:$M$67</definedName>
    <definedName name="_xlnm.Print_Area" localSheetId="11">'M11'!$A$4:$M$67</definedName>
    <definedName name="_xlnm.Print_Area" localSheetId="12">'M12'!$A$4:$M$67</definedName>
    <definedName name="_xlnm.Print_Area" localSheetId="13">'M13'!$A$4:$M$67</definedName>
    <definedName name="_xlnm.Print_Area" localSheetId="14">'M14'!$A$4:$M$67</definedName>
    <definedName name="_xlnm.Print_Area" localSheetId="2">'M2'!$A$1:$E$22</definedName>
    <definedName name="_xlnm.Print_Area" localSheetId="3">'M3'!$A$1:$E$22</definedName>
    <definedName name="_xlnm.Print_Area" localSheetId="5">'M5'!$A$1:$E$22</definedName>
    <definedName name="_xlnm.Print_Area" localSheetId="6">'M6'!$A$1:$E$22</definedName>
    <definedName name="_xlnm.Print_Area" localSheetId="7">'M7'!$A$1:$E$22</definedName>
    <definedName name="_xlnm.Print_Area" localSheetId="8">'M8'!$A$4:$M$69</definedName>
    <definedName name="_xlnm.Print_Area" localSheetId="9">'M9'!$A$4:$M$67</definedName>
    <definedName name="CUADRO_ANTERIOR" localSheetId="0">Indice!CUADRO_ANTERIOR</definedName>
    <definedName name="CUADRO_ANTERIOR" localSheetId="1">'M1'!CUADRO_ANTERIOR</definedName>
    <definedName name="CUADRO_ANTERIOR">[0]!CUADRO_ANTERIOR</definedName>
    <definedName name="cuadro_anterior_jcol" localSheetId="0">Indice!CUADRO_ANTERIOR</definedName>
    <definedName name="cuadro_anterior_jcol" localSheetId="1">'M1'!CUADRO_ANTERIOR</definedName>
    <definedName name="cuadro_anterior_jcol">[0]!CUADRO_ANTERIOR</definedName>
    <definedName name="CUADRO_PROXIMO" localSheetId="0">Indice!CUADRO_PROXIMO</definedName>
    <definedName name="CUADRO_PROXIMO" localSheetId="1">'M1'!CUADRO_PROXIMO</definedName>
    <definedName name="CUADRO_PROXIMO">[0]!CUADRO_PROXIMO</definedName>
    <definedName name="cuadro_proximo_jcol" localSheetId="0">Indice!CUADRO_PROXIMO</definedName>
    <definedName name="cuadro_proximo_jcol" localSheetId="1">'M1'!CUADRO_PROXIMO</definedName>
    <definedName name="cuadro_proximo_jcol">[0]!CUADRO_PROXIMO</definedName>
    <definedName name="Demanda">[1]Demanda!$D$371:$AA$371</definedName>
    <definedName name="Fecha">[1]I.Precios!$A$1:$A$74</definedName>
    <definedName name="FINALIZAR" localSheetId="0">Indice!FINALIZAR</definedName>
    <definedName name="FINALIZAR" localSheetId="1">'M1'!FINALIZAR</definedName>
    <definedName name="FINALIZAR">[0]!FINALIZAR</definedName>
    <definedName name="finalizar_jcol" localSheetId="0">Indice!FINALIZAR</definedName>
    <definedName name="finalizar_jcol" localSheetId="1">'M1'!FINALIZAR</definedName>
    <definedName name="finalizar_jcol">[0]!FINALIZAR</definedName>
    <definedName name="fl" localSheetId="0">Indice!CUADRO_PROXIMO</definedName>
    <definedName name="fl" localSheetId="1">[0]!CUADRO_PROXIMO</definedName>
    <definedName name="fl">[0]!CUADRO_PROXIMO</definedName>
    <definedName name="hola" localSheetId="0">Indice!FINALIZAR</definedName>
    <definedName name="hola" localSheetId="1">[0]!FINALIZAR</definedName>
    <definedName name="hola">[0]!FINALIZAR</definedName>
    <definedName name="Horas" localSheetId="1">[2]I.Precios!#REF!</definedName>
    <definedName name="Horas" localSheetId="10">[1]I.Precios!#REF!</definedName>
    <definedName name="Horas" localSheetId="11">[1]I.Precios!#REF!</definedName>
    <definedName name="Horas" localSheetId="12">[1]I.Precios!#REF!</definedName>
    <definedName name="Horas" localSheetId="13">[1]I.Precios!#REF!</definedName>
    <definedName name="Horas" localSheetId="14">[1]I.Precios!#REF!</definedName>
    <definedName name="Horas" localSheetId="2">[1]I.Precios!#REF!</definedName>
    <definedName name="Horas" localSheetId="6">[1]I.Precios!#REF!</definedName>
    <definedName name="Horas" localSheetId="7">[1]I.Precios!#REF!</definedName>
    <definedName name="Horas" localSheetId="8">[1]I.Precios!#REF!</definedName>
    <definedName name="Horas" localSheetId="9">[1]I.Precios!#REF!</definedName>
    <definedName name="Horas">[1]I.Precios!#REF!</definedName>
    <definedName name="IMPRESION" localSheetId="0">Indice!IMPRESION</definedName>
    <definedName name="IMPRESION" localSheetId="1">'M1'!IMPRESION</definedName>
    <definedName name="IMPRESION">[0]!IMPRESION</definedName>
    <definedName name="impresion_jcol" localSheetId="0">Indice!IMPRESION</definedName>
    <definedName name="impresion_jcol" localSheetId="1">'M1'!IMPRESION</definedName>
    <definedName name="impresion_jcol">[0]!IMPRESION</definedName>
    <definedName name="Índice" localSheetId="0">[0]!INDICE</definedName>
    <definedName name="Índice" localSheetId="1">[0]!INDICE</definedName>
    <definedName name="Índice" localSheetId="10">[0]!INDICE</definedName>
    <definedName name="Índice" localSheetId="11">[0]!INDICE</definedName>
    <definedName name="Índice" localSheetId="12">[0]!INDICE</definedName>
    <definedName name="Índice" localSheetId="13">[0]!INDICE</definedName>
    <definedName name="Índice" localSheetId="14">[0]!INDICE</definedName>
    <definedName name="Índice" localSheetId="2">[0]!INDICE</definedName>
    <definedName name="Índice" localSheetId="6">[0]!INDICE</definedName>
    <definedName name="Índice" localSheetId="7">[0]!INDICE</definedName>
    <definedName name="Índice" localSheetId="8">[0]!INDICE</definedName>
    <definedName name="Índice" localSheetId="9">[0]!INDICE</definedName>
    <definedName name="Índice">[0]!INDICE</definedName>
    <definedName name="indice_jcol" localSheetId="0">[0]!INDICE</definedName>
    <definedName name="indice_jcol" localSheetId="1">[0]!INDICE</definedName>
    <definedName name="indice_jcol" localSheetId="10">[0]!INDICE</definedName>
    <definedName name="indice_jcol" localSheetId="11">[0]!INDICE</definedName>
    <definedName name="indice_jcol" localSheetId="12">[0]!INDICE</definedName>
    <definedName name="indice_jcol" localSheetId="13">[0]!INDICE</definedName>
    <definedName name="indice_jcol" localSheetId="14">[0]!INDICE</definedName>
    <definedName name="indice_jcol" localSheetId="2">[0]!INDICE</definedName>
    <definedName name="indice_jcol" localSheetId="6">[0]!INDICE</definedName>
    <definedName name="indice_jcol" localSheetId="7">[0]!INDICE</definedName>
    <definedName name="indice_jcol" localSheetId="8">[0]!INDICE</definedName>
    <definedName name="indice_jcol" localSheetId="9">[0]!INDICE</definedName>
    <definedName name="indice_jcol">[0]!INDICE</definedName>
    <definedName name="jkhjklhjkhjkl" localSheetId="0">Indice!PRINCIPAL</definedName>
    <definedName name="jkhjklhjkhjkl" localSheetId="1">[0]!PRINCIPAL</definedName>
    <definedName name="jkhjklhjkhjkl" localSheetId="10">'M10'!PRINCIPAL</definedName>
    <definedName name="jkhjklhjkhjkl" localSheetId="11">'M11'!PRINCIPAL</definedName>
    <definedName name="jkhjklhjkhjkl" localSheetId="12">'M12'!PRINCIPAL</definedName>
    <definedName name="jkhjklhjkhjkl" localSheetId="13">'M13'!PRINCIPAL</definedName>
    <definedName name="jkhjklhjkhjkl" localSheetId="14">'M14'!PRINCIPAL</definedName>
    <definedName name="jkhjklhjkhjkl" localSheetId="2">'M2'!PRINCIPAL</definedName>
    <definedName name="jkhjklhjkhjkl" localSheetId="6">'M6'!PRINCIPAL</definedName>
    <definedName name="jkhjklhjkhjkl" localSheetId="7">'M7'!PRINCIPAL</definedName>
    <definedName name="jkhjklhjkhjkl" localSheetId="9">'M9'!PRINCIPAL</definedName>
    <definedName name="jkhjklhjkhjkl">[0]!PRINCIPAL</definedName>
    <definedName name="lionel" localSheetId="0">Indice!CUADRO_PROXIMO</definedName>
    <definedName name="lionel">[0]!CUADRO_PROXIMO</definedName>
    <definedName name="MSTR.Asignaciones__Mensual_simple_" localSheetId="0">#REF!</definedName>
    <definedName name="MSTR.Asignaciones__Mensual_simple_" localSheetId="10">#REF!</definedName>
    <definedName name="MSTR.Asignaciones__Mensual_simple_" localSheetId="11">#REF!</definedName>
    <definedName name="MSTR.Asignaciones__Mensual_simple_" localSheetId="12">#REF!</definedName>
    <definedName name="MSTR.Asignaciones__Mensual_simple_" localSheetId="13">#REF!</definedName>
    <definedName name="MSTR.Asignaciones__Mensual_simple_" localSheetId="14">#REF!</definedName>
    <definedName name="MSTR.Asignaciones__Mensual_simple_" localSheetId="2">#REF!</definedName>
    <definedName name="MSTR.Asignaciones__Mensual_simple_" localSheetId="6">#REF!</definedName>
    <definedName name="MSTR.Asignaciones__Mensual_simple_" localSheetId="7">#REF!</definedName>
    <definedName name="MSTR.Asignaciones__Mensual_simple_" localSheetId="9">#REF!</definedName>
    <definedName name="MSTR.Asignaciones__Mensual_simple_">#REF!</definedName>
    <definedName name="MSTR.Asignaciones__Periodo_simple___Combustible" localSheetId="0">#REF!</definedName>
    <definedName name="MSTR.Asignaciones__Periodo_simple___Combustible">#REF!</definedName>
    <definedName name="MSTR.Asignaciones_Gestión_de_desvíos" localSheetId="0">#REF!</definedName>
    <definedName name="MSTR.Asignaciones_Gestión_de_desvíos">#REF!</definedName>
    <definedName name="MSTR.Asignaciones_Restricciones_TReal" localSheetId="0">#REF!</definedName>
    <definedName name="MSTR.Asignaciones_Restricciones_TReal">#REF!</definedName>
    <definedName name="MSTR.Energia_de_Regulación_Secundaria" localSheetId="0">#REF!</definedName>
    <definedName name="MSTR.Energia_de_Regulación_Secundaria">#REF!</definedName>
    <definedName name="MSTR.Energía_restricciones_técnicas_PDBF_Combustible" localSheetId="0">#REF!</definedName>
    <definedName name="MSTR.Energía_restricciones_técnicas_PDBF_Combustible" localSheetId="10">#REF!</definedName>
    <definedName name="MSTR.Energía_restricciones_técnicas_PDBF_Combustible" localSheetId="11">#REF!</definedName>
    <definedName name="MSTR.Energía_restricciones_técnicas_PDBF_Combustible" localSheetId="12">#REF!</definedName>
    <definedName name="MSTR.Energía_restricciones_técnicas_PDBF_Combustible" localSheetId="13">#REF!</definedName>
    <definedName name="MSTR.Energía_restricciones_técnicas_PDBF_Combustible" localSheetId="14">#REF!</definedName>
    <definedName name="MSTR.Energía_restricciones_técnicas_PDBF_Combustible" localSheetId="6">#REF!</definedName>
    <definedName name="MSTR.Energía_restricciones_técnicas_PDBF_Combustible" localSheetId="7">#REF!</definedName>
    <definedName name="MSTR.Energía_restricciones_técnicas_PDBF_Combustible" localSheetId="9">#REF!</definedName>
    <definedName name="MSTR.Energía_restricciones_técnicas_PDBF_Combustible">#REF!</definedName>
    <definedName name="MSTR.Mercados_de_Operacion._Energía_Gestionada" localSheetId="0">#REF!</definedName>
    <definedName name="MSTR.Mercados_de_Operacion._Energía_Gestionada" localSheetId="10">#REF!</definedName>
    <definedName name="MSTR.Mercados_de_Operacion._Energía_Gestionada" localSheetId="11">#REF!</definedName>
    <definedName name="MSTR.Mercados_de_Operacion._Energía_Gestionada" localSheetId="12">#REF!</definedName>
    <definedName name="MSTR.Mercados_de_Operacion._Energía_Gestionada" localSheetId="13">#REF!</definedName>
    <definedName name="MSTR.Mercados_de_Operacion._Energía_Gestionada" localSheetId="14">#REF!</definedName>
    <definedName name="MSTR.Mercados_de_Operacion._Energía_Gestionada" localSheetId="9">#REF!</definedName>
    <definedName name="MSTR.Mercados_de_Operacion._Energía_Gestionada">#REF!</definedName>
    <definedName name="MSTR.Res_adi_subir_mensual__Combustible" localSheetId="0">#REF!</definedName>
    <definedName name="MSTR.Res_adi_subir_mensual__Combustible">#REF!</definedName>
    <definedName name="nuevo" localSheetId="0">Indice!CUADRO_PROXIMO</definedName>
    <definedName name="nuevo" localSheetId="1">[0]!CUADRO_PROXIMO</definedName>
    <definedName name="nuevo">[0]!CUADRO_PROXIMO</definedName>
    <definedName name="PRINCIPAL" localSheetId="0">#N/A</definedName>
    <definedName name="PRINCIPAL" localSheetId="1">'M1'!PRINCIPAL</definedName>
    <definedName name="PRINCIPAL" localSheetId="10">#N/A</definedName>
    <definedName name="PRINCIPAL" localSheetId="11">#N/A</definedName>
    <definedName name="PRINCIPAL" localSheetId="12">#N/A</definedName>
    <definedName name="PRINCIPAL" localSheetId="13">#N/A</definedName>
    <definedName name="PRINCIPAL" localSheetId="14">#N/A</definedName>
    <definedName name="PRINCIPAL" localSheetId="2">#N/A</definedName>
    <definedName name="PRINCIPAL" localSheetId="6">#N/A</definedName>
    <definedName name="PRINCIPAL" localSheetId="7">#N/A</definedName>
    <definedName name="PRINCIPAL" localSheetId="9">#N/A</definedName>
    <definedName name="PRINCIPAL">'M9'!PRINCIPAL</definedName>
    <definedName name="principal_jcol" localSheetId="0">Indice!PRINCIPAL</definedName>
    <definedName name="principal_jcol" localSheetId="1">'M1'!PRINCIPAL</definedName>
    <definedName name="principal_jcol" localSheetId="10">'M10'!PRINCIPAL</definedName>
    <definedName name="principal_jcol" localSheetId="11">'M11'!PRINCIPAL</definedName>
    <definedName name="principal_jcol" localSheetId="12">'M12'!PRINCIPAL</definedName>
    <definedName name="principal_jcol" localSheetId="13">'M13'!PRINCIPAL</definedName>
    <definedName name="principal_jcol" localSheetId="14">'M14'!PRINCIPAL</definedName>
    <definedName name="principal_jcol" localSheetId="2">'M2'!PRINCIPAL</definedName>
    <definedName name="principal_jcol" localSheetId="6">'M6'!PRINCIPAL</definedName>
    <definedName name="principal_jcol" localSheetId="7">'M7'!PRINCIPAL</definedName>
    <definedName name="principal_jcol" localSheetId="9">'M9'!PRINCIPAL</definedName>
    <definedName name="principal_jcol">[0]!PRINCIPAL</definedName>
    <definedName name="Rango" localSheetId="1">[2]I.PxD!#REF!</definedName>
    <definedName name="Rango" localSheetId="10">[1]I.PxD!#REF!</definedName>
    <definedName name="Rango" localSheetId="11">[1]I.PxD!#REF!</definedName>
    <definedName name="Rango" localSheetId="12">[1]I.PxD!#REF!</definedName>
    <definedName name="Rango" localSheetId="13">[1]I.PxD!#REF!</definedName>
    <definedName name="Rango" localSheetId="14">[1]I.PxD!#REF!</definedName>
    <definedName name="Rango" localSheetId="2">[1]I.PxD!#REF!</definedName>
    <definedName name="Rango" localSheetId="6">[1]I.PxD!#REF!</definedName>
    <definedName name="Rango" localSheetId="7">[1]I.PxD!#REF!</definedName>
    <definedName name="Rango" localSheetId="8">[1]I.PxD!#REF!</definedName>
    <definedName name="Rango" localSheetId="9">[1]I.PxD!#REF!</definedName>
    <definedName name="Rango">[1]I.PxD!#REF!</definedName>
    <definedName name="sfasfasf" localSheetId="0">[0]!INDICE</definedName>
    <definedName name="sfasfasf" localSheetId="1">[0]!INDICE</definedName>
    <definedName name="sfasfasf" localSheetId="10">[0]!INDICE</definedName>
    <definedName name="sfasfasf" localSheetId="11">[0]!INDICE</definedName>
    <definedName name="sfasfasf" localSheetId="12">[0]!INDICE</definedName>
    <definedName name="sfasfasf" localSheetId="13">[0]!INDICE</definedName>
    <definedName name="sfasfasf" localSheetId="14">[0]!INDICE</definedName>
    <definedName name="sfasfasf" localSheetId="2">[0]!INDICE</definedName>
    <definedName name="sfasfasf" localSheetId="6">[0]!INDICE</definedName>
    <definedName name="sfasfasf" localSheetId="7">[0]!INDICE</definedName>
    <definedName name="sfasfasf" localSheetId="8">[0]!INDICE</definedName>
    <definedName name="sfasfasf" localSheetId="9">[0]!INDICE</definedName>
    <definedName name="sfasfasf">[0]!INDICE</definedName>
    <definedName name="v" localSheetId="0">Indice!CUADRO_PROXIMO</definedName>
    <definedName name="v" localSheetId="1">[0]!CUADRO_PROXIMO</definedName>
    <definedName name="v">[0]!CUADRO_PROXIMO</definedName>
    <definedName name="xx" localSheetId="0">[0]!INDICE</definedName>
    <definedName name="xx" localSheetId="1">[0]!INDICE</definedName>
    <definedName name="xx" localSheetId="10">[0]!INDICE</definedName>
    <definedName name="xx" localSheetId="11">[0]!INDICE</definedName>
    <definedName name="xx" localSheetId="12">[0]!INDICE</definedName>
    <definedName name="xx" localSheetId="13">[0]!INDICE</definedName>
    <definedName name="xx" localSheetId="14">[0]!INDICE</definedName>
    <definedName name="xx" localSheetId="2">[0]!INDICE</definedName>
    <definedName name="xx" localSheetId="6">[0]!INDICE</definedName>
    <definedName name="xx" localSheetId="7">[0]!INDICE</definedName>
    <definedName name="xx" localSheetId="8">[0]!INDICE</definedName>
    <definedName name="xx" localSheetId="9">[0]!INDICE</definedName>
    <definedName name="xx">[0]!INDICE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O91" i="88" l="1"/>
  <c r="M74" i="88"/>
  <c r="L74" i="88"/>
  <c r="K74" i="88"/>
  <c r="O155" i="91" l="1"/>
  <c r="O154" i="91"/>
  <c r="O153" i="91"/>
  <c r="O152" i="91"/>
  <c r="O151" i="91"/>
  <c r="P111" i="91"/>
  <c r="P110" i="91"/>
  <c r="P109" i="91"/>
  <c r="P107" i="91"/>
  <c r="E163" i="88"/>
  <c r="E161" i="88"/>
  <c r="P108" i="91" l="1"/>
  <c r="P78" i="91"/>
  <c r="P77" i="91"/>
  <c r="P75" i="91"/>
  <c r="P74" i="91"/>
  <c r="C13" i="91"/>
  <c r="C12" i="91"/>
  <c r="O30" i="91"/>
  <c r="O29" i="91"/>
  <c r="O28" i="91"/>
  <c r="O27" i="91"/>
  <c r="O26" i="91"/>
  <c r="E165" i="88"/>
  <c r="E164" i="88"/>
  <c r="E162" i="88"/>
  <c r="O89" i="88" l="1"/>
  <c r="H78" i="88" l="1"/>
  <c r="G39" i="88"/>
  <c r="O21" i="91" l="1"/>
  <c r="N21" i="91"/>
  <c r="M21" i="91"/>
  <c r="L21" i="91"/>
  <c r="K21" i="91"/>
  <c r="J21" i="91"/>
  <c r="I21" i="91"/>
  <c r="H21" i="91"/>
  <c r="G21" i="91"/>
  <c r="F21" i="91"/>
  <c r="E21" i="91"/>
  <c r="D21" i="91"/>
  <c r="C21" i="91"/>
  <c r="P76" i="91" l="1"/>
  <c r="G14" i="76" l="1"/>
  <c r="G15" i="76"/>
  <c r="G16" i="76"/>
  <c r="F16" i="76"/>
  <c r="F15" i="76"/>
  <c r="F14" i="76"/>
  <c r="F9" i="76"/>
  <c r="F11" i="76" s="1"/>
  <c r="F10" i="76"/>
  <c r="F12" i="76"/>
  <c r="F13" i="76"/>
  <c r="F17" i="76" l="1"/>
  <c r="O87" i="88"/>
  <c r="N87" i="88"/>
  <c r="M87" i="88"/>
  <c r="L87" i="88"/>
  <c r="K87" i="88"/>
  <c r="J87" i="88"/>
  <c r="I87" i="88"/>
  <c r="H87" i="88"/>
  <c r="G87" i="88"/>
  <c r="F87" i="88"/>
  <c r="E87" i="88"/>
  <c r="D87" i="88"/>
  <c r="C87" i="88"/>
  <c r="G13" i="76" l="1"/>
  <c r="G12" i="76"/>
  <c r="G10" i="76"/>
  <c r="G9" i="76"/>
  <c r="C81" i="88"/>
  <c r="D81" i="88"/>
  <c r="E81" i="88"/>
  <c r="F81" i="88"/>
  <c r="G81" i="88"/>
  <c r="H81" i="88"/>
  <c r="I81" i="88"/>
  <c r="J81" i="88"/>
  <c r="K81" i="88"/>
  <c r="L81" i="88"/>
  <c r="M81" i="88"/>
  <c r="N81" i="88"/>
  <c r="O81" i="88"/>
  <c r="C82" i="88"/>
  <c r="D82" i="88"/>
  <c r="E82" i="88"/>
  <c r="F82" i="88"/>
  <c r="G82" i="88"/>
  <c r="H82" i="88"/>
  <c r="I82" i="88"/>
  <c r="J82" i="88"/>
  <c r="K82" i="88"/>
  <c r="L82" i="88"/>
  <c r="M82" i="88"/>
  <c r="N82" i="88"/>
  <c r="O82" i="88"/>
  <c r="C83" i="88"/>
  <c r="D83" i="88"/>
  <c r="E83" i="88"/>
  <c r="F83" i="88"/>
  <c r="G83" i="88"/>
  <c r="H83" i="88"/>
  <c r="I83" i="88"/>
  <c r="J83" i="88"/>
  <c r="K83" i="88"/>
  <c r="L83" i="88"/>
  <c r="M83" i="88"/>
  <c r="N83" i="88"/>
  <c r="O83" i="88"/>
  <c r="C84" i="88"/>
  <c r="D84" i="88"/>
  <c r="E84" i="88"/>
  <c r="F84" i="88"/>
  <c r="G84" i="88"/>
  <c r="H84" i="88"/>
  <c r="I84" i="88"/>
  <c r="J84" i="88"/>
  <c r="K84" i="88"/>
  <c r="L84" i="88"/>
  <c r="M84" i="88"/>
  <c r="N84" i="88"/>
  <c r="O84" i="88"/>
  <c r="C85" i="88"/>
  <c r="D85" i="88"/>
  <c r="E85" i="88"/>
  <c r="F85" i="88"/>
  <c r="G85" i="88"/>
  <c r="H85" i="88"/>
  <c r="I85" i="88"/>
  <c r="J85" i="88"/>
  <c r="K85" i="88"/>
  <c r="L85" i="88"/>
  <c r="M85" i="88"/>
  <c r="N85" i="88"/>
  <c r="O85" i="88"/>
  <c r="C86" i="88"/>
  <c r="D86" i="88"/>
  <c r="E86" i="88"/>
  <c r="F86" i="88"/>
  <c r="G86" i="88"/>
  <c r="H86" i="88"/>
  <c r="I86" i="88"/>
  <c r="J86" i="88"/>
  <c r="K86" i="88"/>
  <c r="L86" i="88"/>
  <c r="M86" i="88"/>
  <c r="N86" i="88"/>
  <c r="O86" i="88"/>
  <c r="C88" i="88"/>
  <c r="D88" i="88"/>
  <c r="E88" i="88"/>
  <c r="F88" i="88"/>
  <c r="G88" i="88"/>
  <c r="H88" i="88"/>
  <c r="I88" i="88"/>
  <c r="J88" i="88"/>
  <c r="K88" i="88"/>
  <c r="L88" i="88"/>
  <c r="M88" i="88"/>
  <c r="N88" i="88"/>
  <c r="O88" i="88"/>
  <c r="C78" i="88"/>
  <c r="D78" i="88"/>
  <c r="F78" i="88"/>
  <c r="G78" i="88"/>
  <c r="I78" i="88"/>
  <c r="J78" i="88"/>
  <c r="L78" i="88"/>
  <c r="B62" i="88"/>
  <c r="C62" i="88"/>
  <c r="D62" i="88"/>
  <c r="G62" i="88"/>
  <c r="H62" i="88"/>
  <c r="J62" i="88"/>
  <c r="B63" i="88"/>
  <c r="C63" i="88"/>
  <c r="D63" i="88"/>
  <c r="G63" i="88"/>
  <c r="H63" i="88"/>
  <c r="J63" i="88"/>
  <c r="B64" i="88"/>
  <c r="C64" i="88"/>
  <c r="D64" i="88"/>
  <c r="G64" i="88"/>
  <c r="H64" i="88"/>
  <c r="J64" i="88"/>
  <c r="B65" i="88"/>
  <c r="C65" i="88"/>
  <c r="D65" i="88"/>
  <c r="G65" i="88"/>
  <c r="H65" i="88"/>
  <c r="J65" i="88"/>
  <c r="B66" i="88"/>
  <c r="C66" i="88"/>
  <c r="D66" i="88"/>
  <c r="G66" i="88"/>
  <c r="H66" i="88"/>
  <c r="J66" i="88"/>
  <c r="B67" i="88"/>
  <c r="C67" i="88"/>
  <c r="D67" i="88"/>
  <c r="G67" i="88"/>
  <c r="H67" i="88"/>
  <c r="J67" i="88"/>
  <c r="B68" i="88"/>
  <c r="C68" i="88"/>
  <c r="D68" i="88"/>
  <c r="G68" i="88"/>
  <c r="H68" i="88"/>
  <c r="J68" i="88"/>
  <c r="B69" i="88"/>
  <c r="C69" i="88"/>
  <c r="D69" i="88"/>
  <c r="G69" i="88"/>
  <c r="H69" i="88"/>
  <c r="J69" i="88"/>
  <c r="B70" i="88"/>
  <c r="C70" i="88"/>
  <c r="D70" i="88"/>
  <c r="G70" i="88"/>
  <c r="H70" i="88"/>
  <c r="J70" i="88"/>
  <c r="B71" i="88"/>
  <c r="C71" i="88"/>
  <c r="D71" i="88"/>
  <c r="G71" i="88"/>
  <c r="H71" i="88"/>
  <c r="J71" i="88"/>
  <c r="B72" i="88"/>
  <c r="C72" i="88"/>
  <c r="D72" i="88"/>
  <c r="G72" i="88"/>
  <c r="H72" i="88"/>
  <c r="J72" i="88"/>
  <c r="B73" i="88"/>
  <c r="C73" i="88"/>
  <c r="D73" i="88"/>
  <c r="G73" i="88"/>
  <c r="H73" i="88"/>
  <c r="J73" i="88"/>
  <c r="B74" i="88"/>
  <c r="C74" i="88"/>
  <c r="D74" i="88"/>
  <c r="G74" i="88"/>
  <c r="H74" i="88"/>
  <c r="J74" i="88"/>
  <c r="K78" i="88" l="1"/>
  <c r="D89" i="88"/>
  <c r="E65" i="88"/>
  <c r="E62" i="88"/>
  <c r="L89" i="88"/>
  <c r="H89" i="88"/>
  <c r="E73" i="88"/>
  <c r="E69" i="88"/>
  <c r="E67" i="88"/>
  <c r="E78" i="88"/>
  <c r="E63" i="88"/>
  <c r="E72" i="88"/>
  <c r="E70" i="88"/>
  <c r="E64" i="88"/>
  <c r="M89" i="88"/>
  <c r="I89" i="88"/>
  <c r="E89" i="88"/>
  <c r="N89" i="88"/>
  <c r="J89" i="88"/>
  <c r="F89" i="88"/>
  <c r="K89" i="88"/>
  <c r="G89" i="88"/>
  <c r="C89" i="88"/>
  <c r="E74" i="88"/>
  <c r="E71" i="88"/>
  <c r="E66" i="88"/>
  <c r="E68" i="88"/>
  <c r="M78" i="88" l="1"/>
  <c r="F11" i="3" l="1"/>
  <c r="F15" i="3"/>
  <c r="F19" i="3"/>
  <c r="F9" i="3"/>
  <c r="F21" i="3"/>
  <c r="F20" i="3"/>
  <c r="F18" i="3"/>
  <c r="F17" i="3"/>
  <c r="F16" i="3"/>
  <c r="F14" i="3"/>
  <c r="F13" i="3"/>
  <c r="F12" i="3"/>
  <c r="F10" i="3"/>
  <c r="G11" i="76" l="1"/>
  <c r="G17" i="76" s="1"/>
  <c r="G18" i="76" s="1"/>
  <c r="F62" i="88" l="1"/>
  <c r="K62" i="88" s="1"/>
  <c r="F63" i="88"/>
  <c r="K63" i="88" s="1"/>
  <c r="F64" i="88"/>
  <c r="K64" i="88" s="1"/>
  <c r="F65" i="88"/>
  <c r="K65" i="88" s="1"/>
  <c r="F66" i="88"/>
  <c r="K66" i="88" s="1"/>
  <c r="F67" i="88"/>
  <c r="K67" i="88" s="1"/>
  <c r="F68" i="88"/>
  <c r="K68" i="88" s="1"/>
  <c r="F69" i="88"/>
  <c r="K69" i="88" s="1"/>
  <c r="F70" i="88"/>
  <c r="K70" i="88" s="1"/>
  <c r="F71" i="88"/>
  <c r="K71" i="88" s="1"/>
  <c r="F72" i="88"/>
  <c r="K72" i="88" s="1"/>
  <c r="F73" i="88"/>
  <c r="K73" i="88" s="1"/>
  <c r="I72" i="88" l="1"/>
  <c r="I64" i="88"/>
  <c r="I67" i="88"/>
  <c r="I73" i="88"/>
  <c r="I69" i="88"/>
  <c r="I65" i="88"/>
  <c r="I68" i="88"/>
  <c r="I71" i="88"/>
  <c r="I63" i="88"/>
  <c r="I70" i="88"/>
  <c r="I66" i="88"/>
  <c r="I62" i="88"/>
  <c r="F74" i="88"/>
  <c r="I74" i="88" l="1"/>
</calcChain>
</file>

<file path=xl/sharedStrings.xml><?xml version="1.0" encoding="utf-8"?>
<sst xmlns="http://schemas.openxmlformats.org/spreadsheetml/2006/main" count="945" uniqueCount="251">
  <si>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</si>
  <si>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</si>
  <si>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</si>
  <si>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</si>
  <si>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</si>
  <si>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</si>
  <si>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</si>
  <si>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</si>
  <si>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</si>
  <si>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</si>
  <si>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</si>
  <si>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</si>
  <si>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</si>
  <si>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</si>
  <si>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</si>
  <si>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Precio medio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</si>
  <si>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</si>
  <si>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</si>
  <si>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</si>
  <si>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</si>
  <si>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</si>
  <si>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</si>
  <si>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</si>
  <si>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</si>
  <si>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</si>
  <si>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</si>
  <si>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</si>
  <si>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</si>
  <si>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</si>
  <si>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</si>
  <si>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</si>
  <si>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</si>
  <si>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</si>
  <si>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</si>
  <si>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</si>
  <si>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</si>
  <si>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</si>
  <si>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</si>
  <si>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</si>
  <si>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</si>
  <si>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</si>
  <si>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</si>
  <si>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</si>
  <si>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Fecha</t>
  </si>
  <si>
    <t>Solución de restricciones técnicas (Fase I)</t>
  </si>
  <si>
    <t>Otros procesos OS</t>
  </si>
  <si>
    <t>Banda de precios</t>
  </si>
  <si>
    <t>Precio máximo</t>
  </si>
  <si>
    <t>Precio mínimo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</si>
  <si>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</si>
  <si>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</si>
  <si>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</si>
  <si>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</si>
  <si>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</si>
  <si>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</si>
  <si>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</si>
  <si>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</si>
  <si>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</si>
  <si>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</si>
  <si>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</si>
  <si>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</si>
  <si>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</si>
  <si>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</si>
  <si>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</si>
  <si>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</si>
  <si>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</si>
  <si>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Energía limitada por restricciones (MWh)</t>
  </si>
  <si>
    <t>BANDA SUBIR</t>
  </si>
  <si>
    <t>(GW y €/MW)</t>
  </si>
  <si>
    <t>energia bajar</t>
  </si>
  <si>
    <t>energia subir</t>
  </si>
  <si>
    <t>precio medio subir</t>
  </si>
  <si>
    <t>precio medio bajar</t>
  </si>
  <si>
    <t>energía subir</t>
  </si>
  <si>
    <t>energía bajar</t>
  </si>
  <si>
    <t>volumen energía</t>
  </si>
  <si>
    <t>Volumen energía</t>
  </si>
  <si>
    <t>Volumen de energía</t>
  </si>
  <si>
    <t>energía subir fase i</t>
  </si>
  <si>
    <t>Energía bajar fase i</t>
  </si>
  <si>
    <t>Volumen energia</t>
  </si>
  <si>
    <t>Precio medio subir</t>
  </si>
  <si>
    <t>Precio medio bajar</t>
  </si>
  <si>
    <t>Variación repercusion</t>
  </si>
  <si>
    <t>SA sobre mes año anterior</t>
  </si>
  <si>
    <t>variaciones</t>
  </si>
  <si>
    <t>Variaciones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</si>
  <si>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</si>
  <si>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</si>
  <si>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</si>
  <si>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</si>
  <si>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d</t>
  </si>
  <si>
    <t>e</t>
  </si>
  <si>
    <t>f</t>
  </si>
  <si>
    <t>m</t>
  </si>
  <si>
    <t>a</t>
  </si>
  <si>
    <t>j</t>
  </si>
  <si>
    <t>s</t>
  </si>
  <si>
    <t>o</t>
  </si>
  <si>
    <t>n</t>
  </si>
  <si>
    <t>Coste medio de la energía de comercializadores y consumidores directos</t>
  </si>
  <si>
    <t>Mes_ind ID</t>
  </si>
  <si>
    <t>Mes ID</t>
  </si>
  <si>
    <t>2016 Diciembre</t>
  </si>
  <si>
    <t>Concepto DESC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</si>
  <si>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</si>
  <si>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</si>
  <si>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</si>
  <si>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</si>
  <si>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</si>
  <si>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</si>
  <si>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</si>
  <si>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</si>
  <si>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</si>
  <si>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</si>
  <si>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</si>
  <si>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</si>
  <si>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</si>
  <si>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</si>
  <si>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</si>
  <si>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</si>
  <si>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Mes DESC</t>
  </si>
  <si>
    <t>Importe (EUR) Obligaciones de pago</t>
  </si>
  <si>
    <t>Importe (EUR) Saldo</t>
  </si>
  <si>
    <t>Energía Programada (MWh)</t>
  </si>
  <si>
    <t>Sentido Sentido</t>
  </si>
  <si>
    <t>Combustible DESC</t>
  </si>
  <si>
    <t>Energia (MWh) a subir</t>
  </si>
  <si>
    <t>Energia (MWh) a bajar</t>
  </si>
  <si>
    <t>Precio ( €/MWh)</t>
  </si>
  <si>
    <t>Año ID</t>
  </si>
  <si>
    <t>Energia (GWh) a subir</t>
  </si>
  <si>
    <t>Energia (GWh) a bajar</t>
  </si>
  <si>
    <t>Energía Asignada (MWh) - Mercado de Terciaria</t>
  </si>
  <si>
    <t>Valor periodo</t>
  </si>
  <si>
    <t>Reserva Asignada (MW)</t>
  </si>
  <si>
    <t>Evolución del precio del mercado diario</t>
  </si>
  <si>
    <t>Mercado diario: participación en cada tecnología en el precio marginal (%)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</si>
  <si>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</si>
  <si>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</si>
  <si>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 utilizada (GWh y €/MW)</t>
  </si>
  <si>
    <t>Regulación secundaria</t>
  </si>
  <si>
    <t>Gestión Desvios</t>
  </si>
  <si>
    <t>Mercado diario: participación de cada tecnología en el precio marginal (%)</t>
  </si>
  <si>
    <t>Precio</t>
  </si>
  <si>
    <t>M10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</si>
  <si>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</si>
  <si>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</si>
  <si>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</si>
  <si>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</si>
  <si>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</si>
  <si>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</si>
  <si>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precio medio aritmético mensual</t>
  </si>
  <si>
    <t>Solución de restricciones técnicas (Fase I) (MWh y €/MWh)</t>
  </si>
  <si>
    <t>Banda de regulación secundaria (MW y €/MW)</t>
  </si>
  <si>
    <t>Regulación terciaria (MWh y €/MWh)</t>
  </si>
  <si>
    <t>Gestión de desvíos (MWh y €/MWh)</t>
  </si>
  <si>
    <t>Restricciones técnicas en tiempo real (MWh y €/MWh)</t>
  </si>
  <si>
    <t>Reserva adicional a subir (MW y €/MW)</t>
  </si>
  <si>
    <t>A subir</t>
  </si>
  <si>
    <t>A bajar</t>
  </si>
  <si>
    <t>01/03/2017</t>
  </si>
  <si>
    <t>02/03/2017</t>
  </si>
  <si>
    <t>03/03/2017</t>
  </si>
  <si>
    <t>04/03/2017</t>
  </si>
  <si>
    <t>05/03/2017</t>
  </si>
  <si>
    <t>06/03/2017</t>
  </si>
  <si>
    <t>07/03/2017</t>
  </si>
  <si>
    <t>08/03/2017</t>
  </si>
  <si>
    <t>09/03/2017</t>
  </si>
  <si>
    <t>10/03/2017</t>
  </si>
  <si>
    <t>11/03/2017</t>
  </si>
  <si>
    <t>12/03/2017</t>
  </si>
  <si>
    <t>13/03/2017</t>
  </si>
  <si>
    <t>14/03/2017</t>
  </si>
  <si>
    <t>15/03/2017</t>
  </si>
  <si>
    <t>16/03/2017</t>
  </si>
  <si>
    <t>17/03/2017</t>
  </si>
  <si>
    <t>18/03/2017</t>
  </si>
  <si>
    <t>19/03/2017</t>
  </si>
  <si>
    <t>20/03/2017</t>
  </si>
  <si>
    <t>21/03/2017</t>
  </si>
  <si>
    <t>22/03/2017</t>
  </si>
  <si>
    <t>23/03/2017</t>
  </si>
  <si>
    <t>24/03/2017</t>
  </si>
  <si>
    <t>25/03/2017</t>
  </si>
  <si>
    <t>26/03/2017</t>
  </si>
  <si>
    <t>27/03/2017</t>
  </si>
  <si>
    <t>28/03/2017</t>
  </si>
  <si>
    <t>29/03/2017</t>
  </si>
  <si>
    <t>30/03/2017</t>
  </si>
  <si>
    <t>31/03/2017</t>
  </si>
  <si>
    <t>Promedio</t>
  </si>
  <si>
    <t>-</t>
  </si>
  <si>
    <t>Marzo 2017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</si>
  <si>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</si>
  <si>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</si>
  <si>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</si>
  <si>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</si>
  <si>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</si>
  <si>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</si>
  <si>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</si>
  <si>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</si>
  <si>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</si>
  <si>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</si>
  <si>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</si>
  <si>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</si>
  <si>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</si>
  <si>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2016 Marzo</t>
  </si>
  <si>
    <t>2016 Abril</t>
  </si>
  <si>
    <t>2016 Mayo</t>
  </si>
  <si>
    <t>2016 Junio</t>
  </si>
  <si>
    <t>2016 Julio</t>
  </si>
  <si>
    <t>2016 Agosto</t>
  </si>
  <si>
    <t>2016 Septiembre</t>
  </si>
  <si>
    <t>2016 Octubre</t>
  </si>
  <si>
    <t>2016 Noviembre</t>
  </si>
  <si>
    <t>2017 Enero</t>
  </si>
  <si>
    <t>2017 Febrero</t>
  </si>
  <si>
    <t>2017 Marzo</t>
  </si>
  <si>
    <t>Segmento Seg_desc_corta</t>
  </si>
  <si>
    <t>Restricciones PBF - Coste</t>
  </si>
  <si>
    <t>Reserva subir - Coste</t>
  </si>
  <si>
    <t>Banda secundaria - CF</t>
  </si>
  <si>
    <t>Restricciones tiempo real (SC)</t>
  </si>
  <si>
    <t>Enlace balear RP48</t>
  </si>
  <si>
    <t>Gestión de desvíos y terciaria (I)</t>
  </si>
  <si>
    <t>Servicios transfronterizos balance</t>
  </si>
  <si>
    <t>Acciones de balance</t>
  </si>
  <si>
    <t>Desvío entre sistemas</t>
  </si>
  <si>
    <t>Marzo 2016</t>
  </si>
  <si>
    <t>Restricciones Técnicas al PBF</t>
  </si>
  <si>
    <t>Restric. en Tiempo Real</t>
  </si>
  <si>
    <t>Marzo</t>
  </si>
  <si>
    <t>Subir</t>
  </si>
  <si>
    <t>Carbón</t>
  </si>
  <si>
    <t>Otras Renovables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</si>
  <si>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</si>
  <si>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</si>
  <si>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</si>
  <si>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</si>
  <si>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</si>
  <si>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</si>
  <si>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</si>
  <si>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Adquisición de Energía</t>
  </si>
  <si>
    <t>Enlace Península Baleares</t>
  </si>
  <si>
    <t>Fuel-Gas</t>
  </si>
  <si>
    <t>Internacionales</t>
  </si>
  <si>
    <t>Nuclear</t>
  </si>
  <si>
    <t>Residuos no Renovables</t>
  </si>
  <si>
    <t>∆2017/2016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</si>
</sst>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</numFmts>
  <fonts count="55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theme="0"/>
      <name val="Geneva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F5F5F5"/>
        <bgColor rgb="FFFFFFFF"/>
      </patternFill>
    </fill>
  </fills>
  <borders count="13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rgb="FFC0C0C0"/>
      </top>
      <bottom/>
      <diagonal/>
    </border>
  </borders>
  <cellStyleXfs count="34">
    <xf numFmtId="0" fontId="0" fillId="0" borderId="0"/>
    <xf numFmtId="167" fontId="4" fillId="0" borderId="0" applyFont="0" applyFill="0" applyBorder="0" applyAlignment="0" applyProtection="0"/>
    <xf numFmtId="0" fontId="5" fillId="0" borderId="0"/>
    <xf numFmtId="4" fontId="17" fillId="2" borderId="2">
      <alignment horizontal="right" vertical="center"/>
    </xf>
    <xf numFmtId="0" fontId="6" fillId="0" borderId="0"/>
    <xf numFmtId="0" fontId="6" fillId="0" borderId="0"/>
    <xf numFmtId="0" fontId="16" fillId="0" borderId="0"/>
    <xf numFmtId="0" fontId="16" fillId="0" borderId="0"/>
    <xf numFmtId="0" fontId="14" fillId="0" borderId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0" fontId="29" fillId="0" borderId="0"/>
    <xf numFmtId="0" fontId="32" fillId="0" borderId="0"/>
    <xf numFmtId="0" fontId="18" fillId="3" borderId="2">
      <alignment vertical="center" wrapText="1"/>
    </xf>
    <xf numFmtId="0" fontId="18" fillId="3" borderId="2">
      <alignment horizontal="center" wrapText="1"/>
    </xf>
    <xf numFmtId="0" fontId="3" fillId="0" borderId="0"/>
    <xf numFmtId="0" fontId="17" fillId="2" borderId="2">
      <alignment horizontal="left" vertical="center" wrapText="1"/>
    </xf>
    <xf numFmtId="3" fontId="17" fillId="2" borderId="2">
      <alignment horizontal="right" vertical="center"/>
    </xf>
    <xf numFmtId="9" fontId="3" fillId="0" borderId="0" applyFont="0" applyFill="0" applyBorder="0" applyAlignment="0" applyProtection="0"/>
    <xf numFmtId="164" fontId="17" fillId="2" borderId="2">
      <alignment horizontal="right" vertical="center"/>
    </xf>
    <xf numFmtId="164" fontId="39" fillId="7" borderId="2">
      <alignment horizontal="right" vertical="center"/>
    </xf>
    <xf numFmtId="0" fontId="2" fillId="0" borderId="0"/>
    <xf numFmtId="9" fontId="2" fillId="0" borderId="0" applyFont="0" applyFill="0" applyBorder="0" applyAlignment="0" applyProtection="0"/>
    <xf numFmtId="0" fontId="18" fillId="3" borderId="2">
      <alignment horizontal="center" wrapText="1"/>
    </xf>
    <xf numFmtId="0" fontId="17" fillId="2" borderId="2">
      <alignment horizontal="left" vertical="center" wrapText="1"/>
    </xf>
    <xf numFmtId="169" fontId="39" fillId="7" borderId="2">
      <alignment horizontal="left" vertical="center"/>
    </xf>
    <xf numFmtId="0" fontId="15" fillId="0" borderId="0"/>
    <xf numFmtId="0" fontId="6" fillId="0" borderId="0"/>
    <xf numFmtId="0" fontId="53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0" fillId="0" borderId="0" xfId="0" applyFill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0" fillId="0" borderId="0" xfId="0" applyFill="1" applyBorder="1" applyProtection="1"/>
    <xf numFmtId="164" fontId="10" fillId="0" borderId="0" xfId="0" applyNumberFormat="1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left" indent="1"/>
    </xf>
    <xf numFmtId="0" fontId="9" fillId="0" borderId="0" xfId="8" applyFont="1" applyFill="1" applyAlignment="1" applyProtection="1"/>
    <xf numFmtId="0" fontId="9" fillId="0" borderId="0" xfId="0" applyFont="1" applyFill="1" applyAlignment="1" applyProtection="1"/>
    <xf numFmtId="0" fontId="10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2" fillId="5" borderId="6" xfId="0" applyFont="1" applyFill="1" applyBorder="1"/>
    <xf numFmtId="0" fontId="23" fillId="5" borderId="5" xfId="0" applyFont="1" applyFill="1" applyBorder="1"/>
    <xf numFmtId="49" fontId="21" fillId="5" borderId="0" xfId="0" applyNumberFormat="1" applyFont="1" applyFill="1"/>
    <xf numFmtId="165" fontId="20" fillId="5" borderId="0" xfId="0" applyNumberFormat="1" applyFont="1" applyFill="1" applyBorder="1" applyAlignment="1" applyProtection="1">
      <alignment horizontal="right" vertical="center"/>
    </xf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9" fillId="0" borderId="0" xfId="8" applyFont="1" applyFill="1" applyAlignment="1" applyProtection="1">
      <alignment horizontal="left"/>
    </xf>
    <xf numFmtId="0" fontId="6" fillId="0" borderId="0" xfId="4"/>
    <xf numFmtId="0" fontId="7" fillId="0" borderId="0" xfId="4" applyFont="1" applyAlignment="1">
      <alignment horizontal="center" wrapText="1"/>
    </xf>
    <xf numFmtId="0" fontId="24" fillId="0" borderId="0" xfId="4" applyFont="1"/>
    <xf numFmtId="2" fontId="7" fillId="4" borderId="0" xfId="4" applyNumberFormat="1" applyFont="1" applyFill="1"/>
    <xf numFmtId="166" fontId="7" fillId="4" borderId="0" xfId="4" applyNumberFormat="1" applyFont="1" applyFill="1"/>
    <xf numFmtId="0" fontId="6" fillId="4" borderId="0" xfId="4" applyFill="1"/>
    <xf numFmtId="0" fontId="25" fillId="4" borderId="0" xfId="4" applyFont="1" applyFill="1" applyAlignment="1">
      <alignment horizontal="right" wrapText="1"/>
    </xf>
    <xf numFmtId="0" fontId="6" fillId="0" borderId="0" xfId="4" applyAlignment="1">
      <alignment vertical="center" wrapText="1"/>
    </xf>
    <xf numFmtId="0" fontId="6" fillId="0" borderId="0" xfId="11"/>
    <xf numFmtId="166" fontId="6" fillId="0" borderId="0" xfId="11" applyNumberFormat="1"/>
    <xf numFmtId="4" fontId="26" fillId="0" borderId="0" xfId="11" applyNumberFormat="1" applyFont="1"/>
    <xf numFmtId="0" fontId="6" fillId="0" borderId="0" xfId="11" applyFont="1"/>
    <xf numFmtId="0" fontId="6" fillId="0" borderId="0" xfId="12"/>
    <xf numFmtId="165" fontId="6" fillId="0" borderId="0" xfId="11" applyNumberFormat="1"/>
    <xf numFmtId="165" fontId="6" fillId="0" borderId="0" xfId="12" applyNumberFormat="1"/>
    <xf numFmtId="2" fontId="6" fillId="0" borderId="0" xfId="11" applyNumberFormat="1"/>
    <xf numFmtId="4" fontId="6" fillId="0" borderId="0" xfId="11" applyNumberFormat="1"/>
    <xf numFmtId="3" fontId="6" fillId="0" borderId="0" xfId="11" applyNumberFormat="1"/>
    <xf numFmtId="3" fontId="6" fillId="0" borderId="0" xfId="4" applyNumberFormat="1"/>
    <xf numFmtId="164" fontId="20" fillId="0" borderId="0" xfId="0" applyNumberFormat="1" applyFont="1" applyFill="1" applyBorder="1" applyAlignment="1" applyProtection="1">
      <alignment wrapText="1"/>
    </xf>
    <xf numFmtId="3" fontId="8" fillId="6" borderId="0" xfId="0" applyNumberFormat="1" applyFont="1" applyFill="1" applyBorder="1" applyAlignment="1"/>
    <xf numFmtId="0" fontId="30" fillId="0" borderId="0" xfId="16" applyFont="1" applyAlignment="1">
      <alignment horizontal="center"/>
    </xf>
    <xf numFmtId="0" fontId="30" fillId="0" borderId="0" xfId="16" applyFont="1"/>
    <xf numFmtId="1" fontId="30" fillId="0" borderId="0" xfId="16" applyNumberFormat="1" applyFont="1"/>
    <xf numFmtId="165" fontId="30" fillId="0" borderId="0" xfId="16" applyNumberFormat="1" applyFont="1"/>
    <xf numFmtId="165" fontId="31" fillId="0" borderId="0" xfId="16" applyNumberFormat="1" applyFont="1"/>
    <xf numFmtId="2" fontId="30" fillId="0" borderId="0" xfId="16" applyNumberFormat="1" applyFont="1"/>
    <xf numFmtId="0" fontId="32" fillId="0" borderId="0" xfId="17"/>
    <xf numFmtId="0" fontId="30" fillId="0" borderId="0" xfId="16" applyFont="1" applyFill="1"/>
    <xf numFmtId="0" fontId="30" fillId="0" borderId="0" xfId="16" applyFont="1" applyBorder="1"/>
    <xf numFmtId="0" fontId="10" fillId="0" borderId="0" xfId="0" applyFont="1" applyAlignment="1">
      <alignment vertical="top" wrapText="1"/>
    </xf>
    <xf numFmtId="0" fontId="20" fillId="0" borderId="0" xfId="0" applyFont="1"/>
    <xf numFmtId="166" fontId="21" fillId="5" borderId="0" xfId="0" applyNumberFormat="1" applyFont="1" applyFill="1" applyBorder="1" applyAlignment="1" applyProtection="1">
      <alignment horizontal="right" vertical="center"/>
    </xf>
    <xf numFmtId="166" fontId="21" fillId="5" borderId="0" xfId="0" applyNumberFormat="1" applyFont="1" applyFill="1" applyBorder="1" applyAlignment="1" applyProtection="1">
      <alignment horizontal="right"/>
    </xf>
    <xf numFmtId="49" fontId="21" fillId="5" borderId="5" xfId="0" applyNumberFormat="1" applyFont="1" applyFill="1" applyBorder="1"/>
    <xf numFmtId="166" fontId="21" fillId="5" borderId="5" xfId="0" applyNumberFormat="1" applyFont="1" applyFill="1" applyBorder="1" applyAlignment="1" applyProtection="1">
      <alignment horizontal="right" vertical="center"/>
    </xf>
    <xf numFmtId="166" fontId="21" fillId="5" borderId="5" xfId="0" applyNumberFormat="1" applyFont="1" applyFill="1" applyBorder="1" applyAlignment="1" applyProtection="1">
      <alignment horizontal="right"/>
    </xf>
    <xf numFmtId="166" fontId="21" fillId="5" borderId="0" xfId="0" applyNumberFormat="1" applyFont="1" applyFill="1"/>
    <xf numFmtId="166" fontId="21" fillId="5" borderId="5" xfId="0" applyNumberFormat="1" applyFont="1" applyFill="1" applyBorder="1"/>
    <xf numFmtId="164" fontId="20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3" fillId="0" borderId="0" xfId="0" applyFont="1" applyFill="1" applyBorder="1" applyProtection="1"/>
    <xf numFmtId="4" fontId="4" fillId="0" borderId="0" xfId="0" applyNumberFormat="1" applyFont="1" applyFill="1" applyBorder="1" applyProtection="1"/>
    <xf numFmtId="0" fontId="10" fillId="5" borderId="9" xfId="0" applyFont="1" applyFill="1" applyBorder="1" applyAlignment="1" applyProtection="1">
      <alignment horizontal="left" vertical="center" indent="1"/>
    </xf>
    <xf numFmtId="0" fontId="36" fillId="5" borderId="0" xfId="20" applyFont="1" applyFill="1" applyBorder="1"/>
    <xf numFmtId="0" fontId="37" fillId="5" borderId="9" xfId="20" applyFont="1" applyFill="1" applyBorder="1"/>
    <xf numFmtId="0" fontId="12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left" wrapText="1"/>
    </xf>
    <xf numFmtId="0" fontId="34" fillId="0" borderId="0" xfId="20" applyFont="1" applyBorder="1" applyAlignment="1">
      <alignment wrapText="1"/>
    </xf>
    <xf numFmtId="0" fontId="11" fillId="0" borderId="0" xfId="0" applyFont="1" applyFill="1" applyBorder="1" applyAlignment="1" applyProtection="1">
      <alignment wrapText="1"/>
    </xf>
    <xf numFmtId="0" fontId="35" fillId="5" borderId="8" xfId="20" applyFont="1" applyFill="1" applyBorder="1" applyAlignment="1">
      <alignment wrapText="1"/>
    </xf>
    <xf numFmtId="17" fontId="37" fillId="5" borderId="8" xfId="20" quotePrefix="1" applyNumberFormat="1" applyFont="1" applyFill="1" applyBorder="1" applyAlignment="1">
      <alignment horizontal="right" wrapText="1"/>
    </xf>
    <xf numFmtId="0" fontId="38" fillId="5" borderId="9" xfId="0" applyFont="1" applyFill="1" applyBorder="1" applyAlignment="1" applyProtection="1">
      <alignment horizontal="left" vertical="center"/>
    </xf>
    <xf numFmtId="168" fontId="38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19" fillId="0" borderId="0" xfId="11" applyFont="1" applyFill="1"/>
    <xf numFmtId="0" fontId="2" fillId="0" borderId="0" xfId="26"/>
    <xf numFmtId="4" fontId="2" fillId="0" borderId="0" xfId="26" applyNumberFormat="1"/>
    <xf numFmtId="168" fontId="6" fillId="0" borderId="0" xfId="9" applyNumberFormat="1" applyFont="1"/>
    <xf numFmtId="0" fontId="40" fillId="0" borderId="0" xfId="11" applyFont="1"/>
    <xf numFmtId="0" fontId="41" fillId="0" borderId="0" xfId="11" applyFont="1"/>
    <xf numFmtId="0" fontId="2" fillId="0" borderId="0" xfId="26" applyFill="1"/>
    <xf numFmtId="168" fontId="0" fillId="0" borderId="0" xfId="27" applyNumberFormat="1" applyFont="1" applyFill="1"/>
    <xf numFmtId="164" fontId="21" fillId="5" borderId="0" xfId="0" applyNumberFormat="1" applyFont="1" applyFill="1" applyBorder="1" applyAlignment="1" applyProtection="1">
      <alignment horizontal="right" vertical="center"/>
    </xf>
    <xf numFmtId="0" fontId="42" fillId="0" borderId="0" xfId="0" applyFont="1" applyFill="1" applyProtection="1"/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1" fillId="0" borderId="0" xfId="26" applyFont="1"/>
    <xf numFmtId="0" fontId="34" fillId="0" borderId="0" xfId="20" applyFont="1" applyBorder="1" applyAlignment="1">
      <alignment horizontal="center" wrapText="1"/>
    </xf>
    <xf numFmtId="0" fontId="11" fillId="0" borderId="0" xfId="0" quotePrefix="1" applyFont="1" applyFill="1" applyBorder="1" applyProtection="1"/>
    <xf numFmtId="0" fontId="43" fillId="0" borderId="0" xfId="0" applyFont="1" applyFill="1" applyBorder="1" applyProtection="1"/>
    <xf numFmtId="0" fontId="44" fillId="0" borderId="0" xfId="0" applyFont="1" applyFill="1" applyBorder="1" applyAlignment="1" applyProtection="1">
      <alignment horizontal="left" vertical="center" indent="1"/>
    </xf>
    <xf numFmtId="0" fontId="43" fillId="0" borderId="0" xfId="0" applyFont="1" applyFill="1" applyBorder="1" applyAlignment="1" applyProtection="1">
      <alignment horizontal="left" indent="1"/>
    </xf>
    <xf numFmtId="0" fontId="43" fillId="5" borderId="0" xfId="0" applyFont="1" applyFill="1" applyBorder="1" applyAlignment="1" applyProtection="1">
      <alignment horizontal="left" indent="1"/>
    </xf>
    <xf numFmtId="17" fontId="9" fillId="0" borderId="0" xfId="0" applyNumberFormat="1" applyFont="1" applyFill="1" applyAlignment="1" applyProtection="1">
      <alignment horizontal="right"/>
    </xf>
    <xf numFmtId="165" fontId="45" fillId="0" borderId="0" xfId="0" applyNumberFormat="1" applyFont="1" applyFill="1" applyBorder="1" applyProtection="1"/>
    <xf numFmtId="0" fontId="45" fillId="0" borderId="0" xfId="0" applyFont="1"/>
    <xf numFmtId="164" fontId="45" fillId="0" borderId="0" xfId="0" applyNumberFormat="1" applyFont="1"/>
    <xf numFmtId="170" fontId="45" fillId="0" borderId="0" xfId="0" applyNumberFormat="1" applyFont="1" applyFill="1" applyBorder="1" applyProtection="1"/>
    <xf numFmtId="0" fontId="21" fillId="5" borderId="10" xfId="31" applyFont="1" applyFill="1" applyBorder="1" applyProtection="1"/>
    <xf numFmtId="166" fontId="20" fillId="5" borderId="5" xfId="0" applyNumberFormat="1" applyFont="1" applyFill="1" applyBorder="1" applyAlignment="1" applyProtection="1">
      <alignment horizontal="right" vertical="center"/>
    </xf>
    <xf numFmtId="165" fontId="20" fillId="5" borderId="5" xfId="0" applyNumberFormat="1" applyFont="1" applyFill="1" applyBorder="1" applyAlignment="1" applyProtection="1">
      <alignment horizontal="right" vertical="center"/>
    </xf>
    <xf numFmtId="166" fontId="21" fillId="5" borderId="5" xfId="0" applyNumberFormat="1" applyFont="1" applyFill="1" applyBorder="1" applyAlignment="1" applyProtection="1">
      <alignment horizontal="left" vertical="center"/>
    </xf>
    <xf numFmtId="3" fontId="36" fillId="5" borderId="0" xfId="20" applyNumberFormat="1" applyFont="1" applyFill="1" applyBorder="1"/>
    <xf numFmtId="3" fontId="37" fillId="5" borderId="9" xfId="20" applyNumberFormat="1" applyFont="1" applyFill="1" applyBorder="1"/>
    <xf numFmtId="3" fontId="20" fillId="5" borderId="6" xfId="0" applyNumberFormat="1" applyFont="1" applyFill="1" applyBorder="1" applyAlignment="1">
      <alignment horizontal="right" wrapText="1"/>
    </xf>
    <xf numFmtId="164" fontId="20" fillId="0" borderId="0" xfId="0" applyNumberFormat="1" applyFont="1" applyFill="1" applyBorder="1" applyAlignment="1" applyProtection="1">
      <alignment horizontal="left"/>
    </xf>
    <xf numFmtId="0" fontId="22" fillId="0" borderId="0" xfId="0" applyFont="1"/>
    <xf numFmtId="3" fontId="20" fillId="5" borderId="1" xfId="0" applyNumberFormat="1" applyFont="1" applyFill="1" applyBorder="1" applyAlignment="1">
      <alignment horizontal="left" vertical="center"/>
    </xf>
    <xf numFmtId="164" fontId="21" fillId="5" borderId="0" xfId="0" applyNumberFormat="1" applyFont="1" applyFill="1" applyBorder="1" applyAlignment="1" applyProtection="1">
      <alignment horizontal="left" vertical="center"/>
    </xf>
    <xf numFmtId="3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 applyProtection="1">
      <alignment horizontal="left" vertical="center"/>
    </xf>
    <xf numFmtId="1" fontId="21" fillId="5" borderId="3" xfId="0" applyNumberFormat="1" applyFont="1" applyFill="1" applyBorder="1" applyAlignment="1">
      <alignment horizontal="right" vertical="center"/>
    </xf>
    <xf numFmtId="0" fontId="47" fillId="0" borderId="0" xfId="12" applyFont="1"/>
    <xf numFmtId="0" fontId="47" fillId="0" borderId="0" xfId="11" applyFont="1"/>
    <xf numFmtId="168" fontId="47" fillId="0" borderId="0" xfId="9" applyNumberFormat="1" applyFont="1"/>
    <xf numFmtId="10" fontId="21" fillId="5" borderId="0" xfId="0" applyNumberFormat="1" applyFont="1" applyFill="1" applyBorder="1" applyAlignment="1">
      <alignment horizontal="right" vertical="center"/>
    </xf>
    <xf numFmtId="49" fontId="20" fillId="5" borderId="1" xfId="0" applyNumberFormat="1" applyFont="1" applyFill="1" applyBorder="1" applyAlignment="1">
      <alignment horizontal="right" vertical="center"/>
    </xf>
    <xf numFmtId="0" fontId="48" fillId="0" borderId="0" xfId="26" applyFont="1"/>
    <xf numFmtId="164" fontId="21" fillId="2" borderId="2" xfId="24" applyFont="1" applyAlignment="1">
      <alignment horizontal="right" vertical="center"/>
    </xf>
    <xf numFmtId="164" fontId="20" fillId="5" borderId="1" xfId="0" applyNumberFormat="1" applyFont="1" applyFill="1" applyBorder="1" applyAlignment="1">
      <alignment horizontal="left" vertical="center"/>
    </xf>
    <xf numFmtId="164" fontId="20" fillId="5" borderId="1" xfId="0" applyNumberFormat="1" applyFont="1" applyFill="1" applyBorder="1" applyAlignment="1">
      <alignment horizontal="right" vertical="center"/>
    </xf>
    <xf numFmtId="164" fontId="20" fillId="5" borderId="11" xfId="0" applyNumberFormat="1" applyFont="1" applyFill="1" applyBorder="1" applyAlignment="1">
      <alignment horizontal="right" vertical="center"/>
    </xf>
    <xf numFmtId="17" fontId="48" fillId="0" borderId="0" xfId="26" applyNumberFormat="1" applyFont="1"/>
    <xf numFmtId="164" fontId="48" fillId="0" borderId="0" xfId="26" applyNumberFormat="1" applyFont="1"/>
    <xf numFmtId="0" fontId="22" fillId="0" borderId="0" xfId="0" applyFont="1" applyBorder="1"/>
    <xf numFmtId="0" fontId="49" fillId="0" borderId="0" xfId="0" applyFont="1" applyFill="1" applyBorder="1" applyProtection="1"/>
    <xf numFmtId="3" fontId="21" fillId="0" borderId="0" xfId="0" applyNumberFormat="1" applyFont="1" applyFill="1" applyBorder="1" applyAlignment="1" applyProtection="1">
      <alignment horizontal="centerContinuous"/>
    </xf>
    <xf numFmtId="3" fontId="21" fillId="0" borderId="0" xfId="0" applyNumberFormat="1" applyFont="1" applyFill="1" applyBorder="1"/>
    <xf numFmtId="0" fontId="20" fillId="5" borderId="4" xfId="0" applyNumberFormat="1" applyFont="1" applyFill="1" applyBorder="1" applyAlignment="1">
      <alignment horizontal="right" vertical="center"/>
    </xf>
    <xf numFmtId="0" fontId="50" fillId="0" borderId="0" xfId="0" applyFont="1"/>
    <xf numFmtId="4" fontId="21" fillId="5" borderId="0" xfId="0" applyNumberFormat="1" applyFont="1" applyFill="1" applyBorder="1" applyAlignment="1">
      <alignment horizontal="right" vertical="center"/>
    </xf>
    <xf numFmtId="170" fontId="50" fillId="0" borderId="0" xfId="0" applyNumberFormat="1" applyFont="1" applyAlignment="1"/>
    <xf numFmtId="164" fontId="50" fillId="0" borderId="0" xfId="0" applyNumberFormat="1" applyFont="1" applyAlignment="1"/>
    <xf numFmtId="4" fontId="50" fillId="0" borderId="0" xfId="0" applyNumberFormat="1" applyFont="1" applyAlignment="1"/>
    <xf numFmtId="2" fontId="21" fillId="5" borderId="3" xfId="0" applyNumberFormat="1" applyFont="1" applyFill="1" applyBorder="1" applyAlignment="1">
      <alignment horizontal="right" vertical="center"/>
    </xf>
    <xf numFmtId="4" fontId="49" fillId="0" borderId="0" xfId="0" applyNumberFormat="1" applyFont="1" applyFill="1" applyBorder="1" applyProtection="1"/>
    <xf numFmtId="4" fontId="22" fillId="0" borderId="0" xfId="0" applyNumberFormat="1" applyFont="1" applyFill="1"/>
    <xf numFmtId="0" fontId="22" fillId="0" borderId="0" xfId="0" applyFont="1" applyFill="1"/>
    <xf numFmtId="164" fontId="21" fillId="5" borderId="3" xfId="0" applyNumberFormat="1" applyFont="1" applyFill="1" applyBorder="1" applyAlignment="1" applyProtection="1">
      <alignment horizontal="right" vertical="center"/>
    </xf>
    <xf numFmtId="164" fontId="20" fillId="5" borderId="0" xfId="0" applyNumberFormat="1" applyFont="1" applyFill="1" applyBorder="1" applyAlignment="1" applyProtection="1">
      <alignment horizontal="left" vertical="center"/>
    </xf>
    <xf numFmtId="49" fontId="20" fillId="5" borderId="1" xfId="0" applyNumberFormat="1" applyFont="1" applyFill="1" applyBorder="1" applyAlignment="1">
      <alignment horizontal="left" vertical="center"/>
    </xf>
    <xf numFmtId="4" fontId="21" fillId="5" borderId="0" xfId="0" applyNumberFormat="1" applyFont="1" applyFill="1" applyBorder="1" applyAlignment="1">
      <alignment horizontal="left" vertical="center"/>
    </xf>
    <xf numFmtId="49" fontId="21" fillId="5" borderId="3" xfId="0" applyNumberFormat="1" applyFont="1" applyFill="1" applyBorder="1" applyAlignment="1" applyProtection="1">
      <alignment horizontal="left" vertical="center"/>
    </xf>
    <xf numFmtId="4" fontId="21" fillId="5" borderId="3" xfId="0" applyNumberFormat="1" applyFont="1" applyFill="1" applyBorder="1" applyAlignment="1" applyProtection="1">
      <alignment horizontal="right" vertical="center"/>
    </xf>
    <xf numFmtId="0" fontId="21" fillId="8" borderId="12" xfId="21" applyFont="1" applyFill="1" applyBorder="1" applyAlignment="1">
      <alignment horizontal="left" vertical="center"/>
    </xf>
    <xf numFmtId="0" fontId="21" fillId="8" borderId="7" xfId="21" applyFont="1" applyFill="1" applyBorder="1" applyAlignment="1">
      <alignment horizontal="left" vertical="center"/>
    </xf>
    <xf numFmtId="0" fontId="4" fillId="0" borderId="0" xfId="0" applyFont="1" applyFill="1" applyProtection="1"/>
    <xf numFmtId="0" fontId="9" fillId="0" borderId="0" xfId="32" applyFont="1" applyFill="1" applyAlignment="1" applyProtection="1">
      <alignment horizontal="right"/>
    </xf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51" fillId="0" borderId="0" xfId="0" applyFont="1" applyFill="1" applyBorder="1" applyAlignment="1" applyProtection="1">
      <alignment horizontal="right"/>
    </xf>
    <xf numFmtId="0" fontId="52" fillId="5" borderId="0" xfId="0" applyFont="1" applyFill="1" applyBorder="1" applyAlignment="1" applyProtection="1">
      <alignment horizontal="right" vertical="center"/>
    </xf>
    <xf numFmtId="0" fontId="20" fillId="5" borderId="0" xfId="33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52" fillId="5" borderId="0" xfId="0" applyFont="1" applyFill="1" applyBorder="1" applyAlignment="1" applyProtection="1">
      <alignment horizontal="right" vertical="top"/>
    </xf>
    <xf numFmtId="0" fontId="10" fillId="5" borderId="0" xfId="33" applyFont="1" applyFill="1" applyBorder="1" applyAlignment="1" applyProtection="1">
      <alignment horizontal="left"/>
    </xf>
    <xf numFmtId="0" fontId="21" fillId="0" borderId="0" xfId="0" applyFont="1" applyFill="1" applyProtection="1"/>
    <xf numFmtId="0" fontId="10" fillId="0" borderId="0" xfId="0" applyFont="1"/>
    <xf numFmtId="3" fontId="10" fillId="0" borderId="0" xfId="0" applyNumberFormat="1" applyFont="1" applyFill="1" applyBorder="1" applyAlignment="1">
      <alignment horizontal="left"/>
    </xf>
    <xf numFmtId="0" fontId="21" fillId="8" borderId="12" xfId="21" quotePrefix="1" applyFont="1" applyFill="1" applyBorder="1" applyAlignment="1">
      <alignment vertical="center"/>
    </xf>
    <xf numFmtId="2" fontId="21" fillId="5" borderId="5" xfId="0" applyNumberFormat="1" applyFont="1" applyFill="1" applyBorder="1" applyAlignment="1" applyProtection="1">
      <alignment horizontal="right" vertical="center"/>
    </xf>
    <xf numFmtId="2" fontId="21" fillId="5" borderId="10" xfId="31" applyNumberFormat="1" applyFont="1" applyFill="1" applyBorder="1" applyProtection="1"/>
    <xf numFmtId="2" fontId="21" fillId="5" borderId="0" xfId="0" applyNumberFormat="1" applyFont="1" applyFill="1" applyBorder="1" applyAlignment="1" applyProtection="1">
      <alignment horizontal="right" vertical="center"/>
    </xf>
    <xf numFmtId="0" fontId="20" fillId="4" borderId="0" xfId="31" applyFont="1" applyFill="1" applyBorder="1" applyProtection="1"/>
    <xf numFmtId="164" fontId="20" fillId="4" borderId="0" xfId="0" applyNumberFormat="1" applyFont="1" applyFill="1" applyBorder="1" applyAlignment="1" applyProtection="1">
      <alignment horizontal="left"/>
    </xf>
    <xf numFmtId="4" fontId="21" fillId="4" borderId="0" xfId="0" applyNumberFormat="1" applyFont="1" applyFill="1" applyBorder="1" applyAlignment="1">
      <alignment horizontal="right" vertical="center"/>
    </xf>
    <xf numFmtId="164" fontId="21" fillId="4" borderId="0" xfId="0" applyNumberFormat="1" applyFont="1" applyFill="1" applyBorder="1" applyAlignment="1" applyProtection="1">
      <alignment horizontal="left" vertical="center"/>
    </xf>
    <xf numFmtId="2" fontId="21" fillId="4" borderId="0" xfId="0" applyNumberFormat="1" applyFont="1" applyFill="1" applyBorder="1" applyAlignment="1">
      <alignment horizontal="right" vertical="center"/>
    </xf>
    <xf numFmtId="0" fontId="20" fillId="4" borderId="10" xfId="31" applyFont="1" applyFill="1" applyBorder="1" applyProtection="1"/>
    <xf numFmtId="0" fontId="21" fillId="4" borderId="10" xfId="31" applyFont="1" applyFill="1" applyBorder="1" applyProtection="1"/>
    <xf numFmtId="168" fontId="21" fillId="5" borderId="0" xfId="0" applyNumberFormat="1" applyFont="1" applyFill="1" applyBorder="1" applyAlignment="1">
      <alignment horizontal="right" vertical="center"/>
    </xf>
    <xf numFmtId="0" fontId="22" fillId="4" borderId="0" xfId="0" applyFont="1" applyFill="1"/>
    <xf numFmtId="164" fontId="21" fillId="5" borderId="0" xfId="0" applyNumberFormat="1" applyFont="1" applyFill="1" applyBorder="1" applyAlignment="1">
      <alignment horizontal="right" vertical="center"/>
    </xf>
    <xf numFmtId="164" fontId="21" fillId="5" borderId="3" xfId="0" applyNumberFormat="1" applyFont="1" applyFill="1" applyBorder="1" applyAlignment="1">
      <alignment horizontal="right" vertical="center"/>
    </xf>
    <xf numFmtId="0" fontId="54" fillId="0" borderId="0" xfId="0" applyFont="1"/>
    <xf numFmtId="0" fontId="9" fillId="0" borderId="0" xfId="0" applyFont="1" applyFill="1" applyAlignment="1" applyProtection="1">
      <alignment horizontal="right"/>
    </xf>
    <xf numFmtId="0" fontId="54" fillId="0" borderId="0" xfId="0" applyFont="1" applyFill="1"/>
    <xf numFmtId="168" fontId="54" fillId="0" borderId="0" xfId="0" applyNumberFormat="1" applyFont="1" applyFill="1"/>
    <xf numFmtId="166" fontId="33" fillId="0" borderId="0" xfId="0" applyNumberFormat="1" applyFont="1" applyFill="1" applyBorder="1" applyProtection="1"/>
    <xf numFmtId="164" fontId="21" fillId="5" borderId="1" xfId="0" applyNumberFormat="1" applyFont="1" applyFill="1" applyBorder="1" applyAlignment="1">
      <alignment horizontal="right" vertical="center"/>
    </xf>
    <xf numFmtId="2" fontId="33" fillId="0" borderId="0" xfId="0" applyNumberFormat="1" applyFont="1" applyFill="1" applyBorder="1" applyProtection="1"/>
    <xf numFmtId="164" fontId="2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0" xfId="8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3" fontId="21" fillId="5" borderId="6" xfId="0" applyNumberFormat="1" applyFont="1" applyFill="1" applyBorder="1" applyAlignment="1">
      <alignment horizontal="right" wrapText="1"/>
    </xf>
    <xf numFmtId="3" fontId="21" fillId="5" borderId="5" xfId="0" applyNumberFormat="1" applyFont="1" applyFill="1" applyBorder="1" applyAlignment="1">
      <alignment horizontal="right" wrapText="1"/>
    </xf>
    <xf numFmtId="3" fontId="20" fillId="5" borderId="6" xfId="0" applyNumberFormat="1" applyFont="1" applyFill="1" applyBorder="1" applyAlignment="1">
      <alignment horizontal="right" wrapText="1"/>
    </xf>
    <xf numFmtId="3" fontId="20" fillId="5" borderId="5" xfId="0" applyNumberFormat="1" applyFont="1" applyFill="1" applyBorder="1" applyAlignment="1">
      <alignment horizontal="right" wrapText="1"/>
    </xf>
    <xf numFmtId="0" fontId="21" fillId="8" borderId="12" xfId="21" quotePrefix="1" applyFont="1" applyFill="1" applyBorder="1" applyAlignment="1">
      <alignment horizontal="center" vertical="center"/>
    </xf>
    <xf numFmtId="0" fontId="21" fillId="8" borderId="0" xfId="21" quotePrefix="1" applyFont="1" applyFill="1" applyBorder="1" applyAlignment="1">
      <alignment horizontal="center" vertical="center"/>
    </xf>
  </cellXfs>
  <cellStyles count="34">
    <cellStyle name="Euro" xfId="1"/>
    <cellStyle name="FUTURA9" xfId="2"/>
    <cellStyle name="Hipervínculo 2" xfId="33"/>
    <cellStyle name="MSTRStyle.All.c11_0c75425b-e4a8-4ede-ad3a-b7e420107163" xfId="28"/>
    <cellStyle name="MSTRStyle.All.c12_73f9af77-3b67-4e30-857e-a07fd4a2b3f5" xfId="24"/>
    <cellStyle name="MSTRStyle.All.c13_6b657269-c2f6-4112-b642-63cbe2217ce6" xfId="22"/>
    <cellStyle name="MSTRStyle.All.c14_299390cd-d429-49fc-85b2-53213256ee02" xfId="3"/>
    <cellStyle name="MSTRStyle.All.c15_2f4368de-db71-4a43-a39a-b7b0e4791d74" xfId="25"/>
    <cellStyle name="MSTRStyle.All.c2_1198c2cb-65a7-418f-8b21-ef92ba6b70e4" xfId="18"/>
    <cellStyle name="MSTRStyle.All.c20_6bd5dc4a-d28f-4b91-a6b3-a27c7bfb9777" xfId="30"/>
    <cellStyle name="MSTRStyle.All.c3_9f27800b-f169-4bc7-8559-5d9aa778b6fd" xfId="21"/>
    <cellStyle name="MSTRStyle.All.c6_52bbba20-dd49-44ca-889f-10924ebd6a5c" xfId="29"/>
    <cellStyle name="MSTRStyle.All.c7_67d71c51-d7a9-4ecd-a2d7-840811351f10" xfId="19"/>
    <cellStyle name="Normal" xfId="0" builtinId="0"/>
    <cellStyle name="Normal 2" xfId="13"/>
    <cellStyle name="Normal 2 2 2" xfId="4"/>
    <cellStyle name="Normal 3" xfId="14"/>
    <cellStyle name="Normal 4" xfId="5"/>
    <cellStyle name="Normal 5" xfId="6"/>
    <cellStyle name="Normal 6" xfId="7"/>
    <cellStyle name="Normal 7" xfId="17"/>
    <cellStyle name="Normal 8" xfId="20"/>
    <cellStyle name="Normal 9" xfId="26"/>
    <cellStyle name="Normal_4.1.5" xfId="31"/>
    <cellStyle name="Normal_A1 Comparacion Internacional" xfId="8"/>
    <cellStyle name="Normal_A1 Comparacion Internacional 2" xfId="32"/>
    <cellStyle name="Normal_MAY_3_PAG_10-12" xfId="16"/>
    <cellStyle name="Normal_Requerimientos_ ofertas_ asignaci_n y utilizaci_n de Secundaria (Mensual-simple)" xfId="12"/>
    <cellStyle name="Normal_Restricciones T_cnicas de Seguridad (Mensual-simple)" xfId="11"/>
    <cellStyle name="Porcentaje" xfId="9" builtinId="5"/>
    <cellStyle name="Porcentaje 2" xfId="15"/>
    <cellStyle name="Porcentaje 3" xfId="23"/>
    <cellStyle name="Porcentaje 4" xfId="27"/>
    <cellStyle name="Porcentual 2" xfId="1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BA0F16"/>
      <color rgb="FF464394"/>
      <color rgb="FF404040"/>
      <color rgb="FF95B3D7"/>
      <color rgb="FFED7D31"/>
      <color rgb="FF666666"/>
      <color rgb="FF808000"/>
      <color rgb="FF91C3D5"/>
      <color rgb="FF009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70508591281434263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'Data 1'!$C$5:$C$35</c:f>
              <c:numCache>
                <c:formatCode>General</c:formatCode>
                <c:ptCount val="31"/>
                <c:pt idx="0">
                  <c:v>55.4</c:v>
                </c:pt>
                <c:pt idx="1">
                  <c:v>57.57</c:v>
                </c:pt>
                <c:pt idx="2">
                  <c:v>48.51</c:v>
                </c:pt>
                <c:pt idx="3">
                  <c:v>47.51</c:v>
                </c:pt>
                <c:pt idx="4">
                  <c:v>40.19</c:v>
                </c:pt>
                <c:pt idx="5">
                  <c:v>55.58</c:v>
                </c:pt>
                <c:pt idx="6">
                  <c:v>61.05</c:v>
                </c:pt>
                <c:pt idx="7">
                  <c:v>55.98</c:v>
                </c:pt>
                <c:pt idx="8">
                  <c:v>53.49</c:v>
                </c:pt>
                <c:pt idx="9">
                  <c:v>54.69</c:v>
                </c:pt>
                <c:pt idx="10">
                  <c:v>50.4</c:v>
                </c:pt>
                <c:pt idx="11">
                  <c:v>38.9</c:v>
                </c:pt>
                <c:pt idx="12">
                  <c:v>49.51</c:v>
                </c:pt>
                <c:pt idx="13">
                  <c:v>50.96</c:v>
                </c:pt>
                <c:pt idx="14">
                  <c:v>52.8</c:v>
                </c:pt>
                <c:pt idx="15">
                  <c:v>51.25</c:v>
                </c:pt>
                <c:pt idx="16">
                  <c:v>50.53</c:v>
                </c:pt>
                <c:pt idx="17">
                  <c:v>48.97</c:v>
                </c:pt>
                <c:pt idx="18">
                  <c:v>50.85</c:v>
                </c:pt>
                <c:pt idx="19">
                  <c:v>51.13</c:v>
                </c:pt>
                <c:pt idx="20">
                  <c:v>52.15</c:v>
                </c:pt>
                <c:pt idx="21">
                  <c:v>48.47</c:v>
                </c:pt>
                <c:pt idx="22">
                  <c:v>56.97</c:v>
                </c:pt>
                <c:pt idx="23">
                  <c:v>55.31</c:v>
                </c:pt>
                <c:pt idx="24">
                  <c:v>51.16</c:v>
                </c:pt>
                <c:pt idx="25">
                  <c:v>44.2</c:v>
                </c:pt>
                <c:pt idx="26">
                  <c:v>56.8</c:v>
                </c:pt>
                <c:pt idx="27">
                  <c:v>52.69</c:v>
                </c:pt>
                <c:pt idx="28">
                  <c:v>53.39</c:v>
                </c:pt>
                <c:pt idx="29">
                  <c:v>51.53</c:v>
                </c:pt>
                <c:pt idx="30">
                  <c:v>52.07</c:v>
                </c:pt>
              </c:numCache>
            </c:numRef>
          </c:val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'Data 1'!$D$5:$D$35</c:f>
              <c:numCache>
                <c:formatCode>General</c:formatCode>
                <c:ptCount val="31"/>
                <c:pt idx="0">
                  <c:v>38.6</c:v>
                </c:pt>
                <c:pt idx="1">
                  <c:v>43.31</c:v>
                </c:pt>
                <c:pt idx="2">
                  <c:v>33.81</c:v>
                </c:pt>
                <c:pt idx="3">
                  <c:v>23.01</c:v>
                </c:pt>
                <c:pt idx="4">
                  <c:v>12.4</c:v>
                </c:pt>
                <c:pt idx="5">
                  <c:v>25.35</c:v>
                </c:pt>
                <c:pt idx="6">
                  <c:v>35.86</c:v>
                </c:pt>
                <c:pt idx="7">
                  <c:v>40.04</c:v>
                </c:pt>
                <c:pt idx="8">
                  <c:v>44.04</c:v>
                </c:pt>
                <c:pt idx="9">
                  <c:v>40.74</c:v>
                </c:pt>
                <c:pt idx="10">
                  <c:v>38.590000000000003</c:v>
                </c:pt>
                <c:pt idx="11">
                  <c:v>12</c:v>
                </c:pt>
                <c:pt idx="12">
                  <c:v>12</c:v>
                </c:pt>
                <c:pt idx="13">
                  <c:v>27.73</c:v>
                </c:pt>
                <c:pt idx="14">
                  <c:v>28.71</c:v>
                </c:pt>
                <c:pt idx="15">
                  <c:v>35.14</c:v>
                </c:pt>
                <c:pt idx="16">
                  <c:v>40.049999999999997</c:v>
                </c:pt>
                <c:pt idx="17">
                  <c:v>38.6</c:v>
                </c:pt>
                <c:pt idx="18">
                  <c:v>36.4</c:v>
                </c:pt>
                <c:pt idx="19">
                  <c:v>42.51</c:v>
                </c:pt>
                <c:pt idx="20">
                  <c:v>36.89</c:v>
                </c:pt>
                <c:pt idx="21">
                  <c:v>29.05</c:v>
                </c:pt>
                <c:pt idx="22">
                  <c:v>28.65</c:v>
                </c:pt>
                <c:pt idx="23">
                  <c:v>48.12</c:v>
                </c:pt>
                <c:pt idx="24">
                  <c:v>31.44</c:v>
                </c:pt>
                <c:pt idx="25">
                  <c:v>27.25</c:v>
                </c:pt>
                <c:pt idx="26">
                  <c:v>31.9</c:v>
                </c:pt>
                <c:pt idx="27">
                  <c:v>42.28</c:v>
                </c:pt>
                <c:pt idx="28">
                  <c:v>44.95</c:v>
                </c:pt>
                <c:pt idx="29">
                  <c:v>36.72</c:v>
                </c:pt>
                <c:pt idx="30">
                  <c:v>28.66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544976"/>
        <c:axId val="338545368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numRef>
              <c:f>'Data 1'!$A$5:$A$35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'Data 1'!$E$5:$E$35</c:f>
              <c:numCache>
                <c:formatCode>0.00</c:formatCode>
                <c:ptCount val="31"/>
                <c:pt idx="0">
                  <c:v>49.099765825399999</c:v>
                </c:pt>
                <c:pt idx="1">
                  <c:v>51.3635856987</c:v>
                </c:pt>
                <c:pt idx="2">
                  <c:v>40.779890945200002</c:v>
                </c:pt>
                <c:pt idx="3">
                  <c:v>36.285780695299998</c:v>
                </c:pt>
                <c:pt idx="4">
                  <c:v>29.1109408654</c:v>
                </c:pt>
                <c:pt idx="5">
                  <c:v>42.870510874200001</c:v>
                </c:pt>
                <c:pt idx="6">
                  <c:v>49.083362643299999</c:v>
                </c:pt>
                <c:pt idx="7">
                  <c:v>49.732593672900002</c:v>
                </c:pt>
                <c:pt idx="8">
                  <c:v>49.644158299200001</c:v>
                </c:pt>
                <c:pt idx="9">
                  <c:v>48.9789785878</c:v>
                </c:pt>
                <c:pt idx="10">
                  <c:v>45.943321849100002</c:v>
                </c:pt>
                <c:pt idx="11">
                  <c:v>21.512604792600001</c:v>
                </c:pt>
                <c:pt idx="12">
                  <c:v>33.438556841500002</c:v>
                </c:pt>
                <c:pt idx="13">
                  <c:v>39.2312615779</c:v>
                </c:pt>
                <c:pt idx="14">
                  <c:v>44.690179831099996</c:v>
                </c:pt>
                <c:pt idx="15">
                  <c:v>45.666400701800001</c:v>
                </c:pt>
                <c:pt idx="16">
                  <c:v>46.753900706899998</c:v>
                </c:pt>
                <c:pt idx="17">
                  <c:v>43.380806135699999</c:v>
                </c:pt>
                <c:pt idx="18">
                  <c:v>44.5030831459</c:v>
                </c:pt>
                <c:pt idx="19">
                  <c:v>47.211704385899999</c:v>
                </c:pt>
                <c:pt idx="20">
                  <c:v>46.318136029500003</c:v>
                </c:pt>
                <c:pt idx="21">
                  <c:v>38.447857319100002</c:v>
                </c:pt>
                <c:pt idx="22">
                  <c:v>45.8024700669</c:v>
                </c:pt>
                <c:pt idx="23">
                  <c:v>52.035750978899998</c:v>
                </c:pt>
                <c:pt idx="24">
                  <c:v>40.442364236099998</c:v>
                </c:pt>
                <c:pt idx="25">
                  <c:v>35.396020786699999</c:v>
                </c:pt>
                <c:pt idx="26">
                  <c:v>45.563589362400002</c:v>
                </c:pt>
                <c:pt idx="27">
                  <c:v>48.696953576200002</c:v>
                </c:pt>
                <c:pt idx="28">
                  <c:v>48.675830250799997</c:v>
                </c:pt>
                <c:pt idx="29">
                  <c:v>45.194268336100002</c:v>
                </c:pt>
                <c:pt idx="30">
                  <c:v>41.656537615399998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544976"/>
        <c:axId val="338545368"/>
      </c:lineChart>
      <c:catAx>
        <c:axId val="33854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38545368"/>
        <c:crosses val="autoZero"/>
        <c:auto val="1"/>
        <c:lblAlgn val="ctr"/>
        <c:lblOffset val="100"/>
        <c:noMultiLvlLbl val="0"/>
      </c:catAx>
      <c:valAx>
        <c:axId val="3385453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338544976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</c:legendEntry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Energía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2'!$C$7:$O$7</c:f>
              <c:numCache>
                <c:formatCode>#,##0</c:formatCode>
                <c:ptCount val="13"/>
                <c:pt idx="0">
                  <c:v>516.16419919249995</c:v>
                </c:pt>
                <c:pt idx="1">
                  <c:v>505.7013888889</c:v>
                </c:pt>
                <c:pt idx="2">
                  <c:v>499.50134408600002</c:v>
                </c:pt>
                <c:pt idx="3">
                  <c:v>497.6458333333</c:v>
                </c:pt>
                <c:pt idx="4">
                  <c:v>513.09139784950003</c:v>
                </c:pt>
                <c:pt idx="5">
                  <c:v>509.94758064519999</c:v>
                </c:pt>
                <c:pt idx="6">
                  <c:v>514.5902777778</c:v>
                </c:pt>
                <c:pt idx="7">
                  <c:v>502.7570469799</c:v>
                </c:pt>
                <c:pt idx="8">
                  <c:v>509.3888888889</c:v>
                </c:pt>
                <c:pt idx="9">
                  <c:v>515.34946236559995</c:v>
                </c:pt>
                <c:pt idx="10">
                  <c:v>520.03225806449996</c:v>
                </c:pt>
                <c:pt idx="11">
                  <c:v>516.89732142859998</c:v>
                </c:pt>
                <c:pt idx="12">
                  <c:v>513.60969044410001</c:v>
                </c:pt>
              </c:numCache>
            </c:numRef>
          </c:val>
        </c:ser>
        <c:ser>
          <c:idx val="0"/>
          <c:order val="1"/>
          <c:tx>
            <c:v>Energía a subir</c:v>
          </c:tx>
          <c:spPr>
            <a:solidFill>
              <a:srgbClr val="007AB0"/>
            </a:solidFill>
          </c:spPr>
          <c:invertIfNegative val="0"/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244936"/>
        <c:axId val="294244544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44936"/>
        <c:axId val="294244544"/>
      </c:lineChart>
      <c:valAx>
        <c:axId val="294244544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294244936"/>
        <c:crosses val="autoZero"/>
        <c:crossBetween val="between"/>
        <c:majorUnit val="200"/>
      </c:valAx>
      <c:catAx>
        <c:axId val="2942449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94244544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2'!$B$19</c:f>
              <c:strCache>
                <c:ptCount val="1"/>
                <c:pt idx="0">
                  <c:v>Energia (GWh)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2'!$C$18:$O$18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2'!$C$19:$O$19</c:f>
              <c:numCache>
                <c:formatCode>#,##0</c:formatCode>
                <c:ptCount val="13"/>
                <c:pt idx="0">
                  <c:v>162.74266900000001</c:v>
                </c:pt>
                <c:pt idx="1">
                  <c:v>158.010876</c:v>
                </c:pt>
                <c:pt idx="2">
                  <c:v>182.30528000000001</c:v>
                </c:pt>
                <c:pt idx="3">
                  <c:v>127.443428</c:v>
                </c:pt>
                <c:pt idx="4">
                  <c:v>94.842940999999996</c:v>
                </c:pt>
                <c:pt idx="5">
                  <c:v>101.251535</c:v>
                </c:pt>
                <c:pt idx="6">
                  <c:v>95.450947999999997</c:v>
                </c:pt>
                <c:pt idx="7">
                  <c:v>89.660353999999998</c:v>
                </c:pt>
                <c:pt idx="8">
                  <c:v>103.079487</c:v>
                </c:pt>
                <c:pt idx="9">
                  <c:v>111.652906</c:v>
                </c:pt>
                <c:pt idx="10">
                  <c:v>114.09860500000001</c:v>
                </c:pt>
                <c:pt idx="11">
                  <c:v>123.06359399999999</c:v>
                </c:pt>
                <c:pt idx="12">
                  <c:v>142.87497500000001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503216"/>
        <c:axId val="448503608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2'!$C$23:$O$23</c:f>
              <c:numCache>
                <c:formatCode>#,##0</c:formatCode>
                <c:ptCount val="13"/>
                <c:pt idx="0">
                  <c:v>35.379175205700001</c:v>
                </c:pt>
                <c:pt idx="1">
                  <c:v>33.688204411999997</c:v>
                </c:pt>
                <c:pt idx="2">
                  <c:v>34.957113419899997</c:v>
                </c:pt>
                <c:pt idx="3">
                  <c:v>42.795358659100003</c:v>
                </c:pt>
                <c:pt idx="4">
                  <c:v>42.778241450800003</c:v>
                </c:pt>
                <c:pt idx="5">
                  <c:v>42.113317590699999</c:v>
                </c:pt>
                <c:pt idx="6">
                  <c:v>44.897175667699997</c:v>
                </c:pt>
                <c:pt idx="7">
                  <c:v>52.989699438400002</c:v>
                </c:pt>
                <c:pt idx="8">
                  <c:v>58.889238651299998</c:v>
                </c:pt>
                <c:pt idx="9">
                  <c:v>62.754847688399998</c:v>
                </c:pt>
                <c:pt idx="10">
                  <c:v>75.307173036899997</c:v>
                </c:pt>
                <c:pt idx="11">
                  <c:v>56.121769286199999</c:v>
                </c:pt>
                <c:pt idx="12">
                  <c:v>47.867154202499997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504392"/>
        <c:axId val="448504000"/>
      </c:lineChart>
      <c:catAx>
        <c:axId val="44850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503608"/>
        <c:crosses val="autoZero"/>
        <c:auto val="1"/>
        <c:lblAlgn val="ctr"/>
        <c:lblOffset val="100"/>
        <c:noMultiLvlLbl val="1"/>
      </c:catAx>
      <c:valAx>
        <c:axId val="4485036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503216"/>
        <c:crosses val="autoZero"/>
        <c:crossBetween val="between"/>
        <c:majorUnit val="50"/>
      </c:valAx>
      <c:valAx>
        <c:axId val="448504000"/>
        <c:scaling>
          <c:orientation val="minMax"/>
          <c:max val="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504392"/>
        <c:crosses val="max"/>
        <c:crossBetween val="between"/>
        <c:majorUnit val="20"/>
      </c:valAx>
      <c:catAx>
        <c:axId val="448504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8504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'Data 2'!$C$20:$O$20</c:f>
              <c:numCache>
                <c:formatCode>0</c:formatCode>
                <c:ptCount val="13"/>
                <c:pt idx="0">
                  <c:v>69.477337000000006</c:v>
                </c:pt>
                <c:pt idx="1">
                  <c:v>69.237797999999998</c:v>
                </c:pt>
                <c:pt idx="2">
                  <c:v>57.735940999999997</c:v>
                </c:pt>
                <c:pt idx="3">
                  <c:v>73.081980000000001</c:v>
                </c:pt>
                <c:pt idx="4">
                  <c:v>91.860525999999993</c:v>
                </c:pt>
                <c:pt idx="5">
                  <c:v>86.754802999999995</c:v>
                </c:pt>
                <c:pt idx="6">
                  <c:v>97.600018000000006</c:v>
                </c:pt>
                <c:pt idx="7">
                  <c:v>116.44212400000001</c:v>
                </c:pt>
                <c:pt idx="8">
                  <c:v>105.77510700000001</c:v>
                </c:pt>
                <c:pt idx="9">
                  <c:v>84.597136000000006</c:v>
                </c:pt>
                <c:pt idx="10">
                  <c:v>108.041453</c:v>
                </c:pt>
                <c:pt idx="11">
                  <c:v>65.058026999999996</c:v>
                </c:pt>
                <c:pt idx="12">
                  <c:v>65.080662000000004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505568"/>
        <c:axId val="448505176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2'!$C$22:$O$22</c:f>
              <c:numCache>
                <c:formatCode>#,##0</c:formatCode>
                <c:ptCount val="13"/>
              </c:numCache>
            </c:numRef>
          </c:val>
          <c:smooth val="0"/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2'!$C$24:$O$24</c:f>
              <c:numCache>
                <c:formatCode>0</c:formatCode>
                <c:ptCount val="13"/>
                <c:pt idx="0">
                  <c:v>17.1059689579</c:v>
                </c:pt>
                <c:pt idx="1">
                  <c:v>11.684841565899999</c:v>
                </c:pt>
                <c:pt idx="2">
                  <c:v>15.7738338412</c:v>
                </c:pt>
                <c:pt idx="3">
                  <c:v>29.031670050500001</c:v>
                </c:pt>
                <c:pt idx="4">
                  <c:v>33.197472982000001</c:v>
                </c:pt>
                <c:pt idx="5">
                  <c:v>32.055494956300002</c:v>
                </c:pt>
                <c:pt idx="6">
                  <c:v>35.148232452199998</c:v>
                </c:pt>
                <c:pt idx="7">
                  <c:v>45.464406849900001</c:v>
                </c:pt>
                <c:pt idx="8">
                  <c:v>50.752464660699999</c:v>
                </c:pt>
                <c:pt idx="9">
                  <c:v>52.399029560499997</c:v>
                </c:pt>
                <c:pt idx="10">
                  <c:v>65.800001782600006</c:v>
                </c:pt>
                <c:pt idx="11">
                  <c:v>39.8691003956</c:v>
                </c:pt>
                <c:pt idx="12">
                  <c:v>31.858757214200001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506352"/>
        <c:axId val="448505960"/>
      </c:lineChart>
      <c:valAx>
        <c:axId val="448505176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448505568"/>
        <c:crosses val="autoZero"/>
        <c:crossBetween val="between"/>
        <c:majorUnit val="50"/>
      </c:valAx>
      <c:catAx>
        <c:axId val="4485055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48505176"/>
        <c:crosses val="autoZero"/>
        <c:auto val="1"/>
        <c:lblAlgn val="ctr"/>
        <c:lblOffset val="100"/>
        <c:noMultiLvlLbl val="0"/>
      </c:catAx>
      <c:valAx>
        <c:axId val="448505960"/>
        <c:scaling>
          <c:orientation val="maxMin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48506352"/>
        <c:crosses val="max"/>
        <c:crossBetween val="between"/>
        <c:majorUnit val="20"/>
      </c:valAx>
      <c:catAx>
        <c:axId val="448506352"/>
        <c:scaling>
          <c:orientation val="minMax"/>
        </c:scaling>
        <c:delete val="1"/>
        <c:axPos val="t"/>
        <c:majorTickMark val="out"/>
        <c:minorTickMark val="none"/>
        <c:tickLblPos val="nextTo"/>
        <c:crossAx val="44850596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2'!$C$54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2'!$D$54:$P$54</c:f>
              <c:numCache>
                <c:formatCode>#,##0.0</c:formatCode>
                <c:ptCount val="13"/>
                <c:pt idx="0">
                  <c:v>18462.8</c:v>
                </c:pt>
                <c:pt idx="1">
                  <c:v>9128.2000000000007</c:v>
                </c:pt>
                <c:pt idx="2">
                  <c:v>12444.9</c:v>
                </c:pt>
                <c:pt idx="3">
                  <c:v>27670.2</c:v>
                </c:pt>
                <c:pt idx="4">
                  <c:v>26575.7</c:v>
                </c:pt>
                <c:pt idx="5">
                  <c:v>32372.1</c:v>
                </c:pt>
                <c:pt idx="6">
                  <c:v>46810.1</c:v>
                </c:pt>
                <c:pt idx="7">
                  <c:v>30606.2</c:v>
                </c:pt>
                <c:pt idx="8">
                  <c:v>38654</c:v>
                </c:pt>
                <c:pt idx="9">
                  <c:v>48332.5</c:v>
                </c:pt>
                <c:pt idx="10">
                  <c:v>29873.4</c:v>
                </c:pt>
                <c:pt idx="11">
                  <c:v>92635.5</c:v>
                </c:pt>
                <c:pt idx="12">
                  <c:v>60556.800000000003</c:v>
                </c:pt>
              </c:numCache>
            </c:numRef>
          </c:val>
        </c:ser>
        <c:ser>
          <c:idx val="3"/>
          <c:order val="2"/>
          <c:tx>
            <c:strRef>
              <c:f>'Data 2'!$C$55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2'!$D$55:$P$55</c:f>
              <c:numCache>
                <c:formatCode>#,##0.0</c:formatCode>
                <c:ptCount val="13"/>
                <c:pt idx="0">
                  <c:v>3751.2</c:v>
                </c:pt>
                <c:pt idx="1">
                  <c:v>8591.4</c:v>
                </c:pt>
                <c:pt idx="2">
                  <c:v>11889.1</c:v>
                </c:pt>
                <c:pt idx="3">
                  <c:v>15256.9</c:v>
                </c:pt>
                <c:pt idx="4">
                  <c:v>17125.2</c:v>
                </c:pt>
                <c:pt idx="5">
                  <c:v>19882</c:v>
                </c:pt>
                <c:pt idx="6">
                  <c:v>21088.9</c:v>
                </c:pt>
                <c:pt idx="7">
                  <c:v>25077.200000000001</c:v>
                </c:pt>
                <c:pt idx="8">
                  <c:v>23471.9</c:v>
                </c:pt>
                <c:pt idx="9">
                  <c:v>32343</c:v>
                </c:pt>
                <c:pt idx="10">
                  <c:v>31257.5</c:v>
                </c:pt>
                <c:pt idx="11">
                  <c:v>28594.2</c:v>
                </c:pt>
                <c:pt idx="12">
                  <c:v>29853.7</c:v>
                </c:pt>
              </c:numCache>
            </c:numRef>
          </c:val>
        </c:ser>
        <c:ser>
          <c:idx val="4"/>
          <c:order val="3"/>
          <c:tx>
            <c:strRef>
              <c:f>'Data 2'!$C$56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2'!$D$56:$P$56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</c:v>
                </c:pt>
                <c:pt idx="6">
                  <c:v>0</c:v>
                </c:pt>
                <c:pt idx="7">
                  <c:v>351.5</c:v>
                </c:pt>
                <c:pt idx="8">
                  <c:v>1088.5</c:v>
                </c:pt>
                <c:pt idx="9">
                  <c:v>1137.0999999999999</c:v>
                </c:pt>
                <c:pt idx="10">
                  <c:v>232.7</c:v>
                </c:pt>
                <c:pt idx="11">
                  <c:v>463.1</c:v>
                </c:pt>
                <c:pt idx="12">
                  <c:v>1006.6</c:v>
                </c:pt>
              </c:numCache>
            </c:numRef>
          </c:val>
        </c:ser>
        <c:ser>
          <c:idx val="5"/>
          <c:order val="4"/>
          <c:tx>
            <c:strRef>
              <c:f>'Data 2'!$C$57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2'!$D$57:$P$57</c:f>
              <c:numCache>
                <c:formatCode>#,##0.0</c:formatCode>
                <c:ptCount val="13"/>
                <c:pt idx="0">
                  <c:v>99732.800000000003</c:v>
                </c:pt>
                <c:pt idx="1">
                  <c:v>84739.1</c:v>
                </c:pt>
                <c:pt idx="2">
                  <c:v>63369.7</c:v>
                </c:pt>
                <c:pt idx="3">
                  <c:v>30546.6</c:v>
                </c:pt>
                <c:pt idx="4">
                  <c:v>22647.3</c:v>
                </c:pt>
                <c:pt idx="5">
                  <c:v>39268.199999999997</c:v>
                </c:pt>
                <c:pt idx="6">
                  <c:v>44806.400000000001</c:v>
                </c:pt>
                <c:pt idx="7">
                  <c:v>27192.1</c:v>
                </c:pt>
                <c:pt idx="8">
                  <c:v>28952.2</c:v>
                </c:pt>
                <c:pt idx="9">
                  <c:v>21197.200000000001</c:v>
                </c:pt>
                <c:pt idx="10">
                  <c:v>29718.6</c:v>
                </c:pt>
                <c:pt idx="11">
                  <c:v>59071.9</c:v>
                </c:pt>
                <c:pt idx="12">
                  <c:v>69541.7</c:v>
                </c:pt>
              </c:numCache>
            </c:numRef>
          </c:val>
        </c:ser>
        <c:ser>
          <c:idx val="7"/>
          <c:order val="6"/>
          <c:tx>
            <c:strRef>
              <c:f>'Data 2'!$C$59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2'!$D$59:$P$59</c:f>
              <c:numCache>
                <c:formatCode>#,##0.0</c:formatCode>
                <c:ptCount val="13"/>
                <c:pt idx="0">
                  <c:v>0</c:v>
                </c:pt>
                <c:pt idx="1">
                  <c:v>4519.6000000000004</c:v>
                </c:pt>
                <c:pt idx="2">
                  <c:v>10841.6</c:v>
                </c:pt>
                <c:pt idx="3">
                  <c:v>4860.6000000000004</c:v>
                </c:pt>
                <c:pt idx="4">
                  <c:v>4001.3</c:v>
                </c:pt>
                <c:pt idx="5">
                  <c:v>8039.4</c:v>
                </c:pt>
                <c:pt idx="6">
                  <c:v>3126.2</c:v>
                </c:pt>
                <c:pt idx="7">
                  <c:v>4972</c:v>
                </c:pt>
                <c:pt idx="8">
                  <c:v>12138.1</c:v>
                </c:pt>
                <c:pt idx="9">
                  <c:v>3426.7</c:v>
                </c:pt>
                <c:pt idx="10">
                  <c:v>2813.5</c:v>
                </c:pt>
                <c:pt idx="11">
                  <c:v>13978.3</c:v>
                </c:pt>
                <c:pt idx="12">
                  <c:v>24572.7</c:v>
                </c:pt>
              </c:numCache>
            </c:numRef>
          </c:val>
        </c:ser>
        <c:ser>
          <c:idx val="9"/>
          <c:order val="7"/>
          <c:tx>
            <c:strRef>
              <c:f>'Data 2'!$C$61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2'!$D$61:$P$61</c:f>
              <c:numCache>
                <c:formatCode>#,##0.0</c:formatCode>
                <c:ptCount val="13"/>
                <c:pt idx="0">
                  <c:v>27305.599999999999</c:v>
                </c:pt>
                <c:pt idx="1">
                  <c:v>30920</c:v>
                </c:pt>
                <c:pt idx="2">
                  <c:v>24843.5</c:v>
                </c:pt>
                <c:pt idx="3">
                  <c:v>13133.6</c:v>
                </c:pt>
                <c:pt idx="4">
                  <c:v>9478.7999999999993</c:v>
                </c:pt>
                <c:pt idx="5">
                  <c:v>14094.1</c:v>
                </c:pt>
                <c:pt idx="6">
                  <c:v>8427.2000000000007</c:v>
                </c:pt>
                <c:pt idx="7">
                  <c:v>25903.4</c:v>
                </c:pt>
                <c:pt idx="8">
                  <c:v>20858.900000000001</c:v>
                </c:pt>
                <c:pt idx="9">
                  <c:v>25403.7</c:v>
                </c:pt>
                <c:pt idx="10">
                  <c:v>48230.3</c:v>
                </c:pt>
                <c:pt idx="11">
                  <c:v>19654.8</c:v>
                </c:pt>
                <c:pt idx="12">
                  <c:v>29936.2</c:v>
                </c:pt>
              </c:numCache>
            </c:numRef>
          </c:val>
        </c:ser>
        <c:ser>
          <c:idx val="8"/>
          <c:order val="8"/>
          <c:tx>
            <c:strRef>
              <c:f>'Data 2'!$C$60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2'!$D$60:$P$60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'Data 2'!$C$63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2'!$D$63:$P$63</c:f>
              <c:numCache>
                <c:formatCode>#,##0.0</c:formatCode>
                <c:ptCount val="13"/>
                <c:pt idx="0">
                  <c:v>8.3000000000000007</c:v>
                </c:pt>
                <c:pt idx="1">
                  <c:v>0</c:v>
                </c:pt>
                <c:pt idx="2">
                  <c:v>260</c:v>
                </c:pt>
                <c:pt idx="3">
                  <c:v>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171.9</c:v>
                </c:pt>
                <c:pt idx="8">
                  <c:v>0</c:v>
                </c:pt>
                <c:pt idx="9">
                  <c:v>222</c:v>
                </c:pt>
                <c:pt idx="10">
                  <c:v>0</c:v>
                </c:pt>
                <c:pt idx="11">
                  <c:v>0</c:v>
                </c:pt>
                <c:pt idx="12">
                  <c:v>30</c:v>
                </c:pt>
              </c:numCache>
            </c:numRef>
          </c:val>
        </c:ser>
        <c:ser>
          <c:idx val="16"/>
          <c:order val="15"/>
          <c:tx>
            <c:strRef>
              <c:f>'Data 2'!$C$68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2'!$D$68:$P$68</c:f>
              <c:numCache>
                <c:formatCode>#,##0.0</c:formatCode>
                <c:ptCount val="13"/>
                <c:pt idx="0">
                  <c:v>13117.3</c:v>
                </c:pt>
                <c:pt idx="1">
                  <c:v>16195.4</c:v>
                </c:pt>
                <c:pt idx="2">
                  <c:v>6935.7</c:v>
                </c:pt>
                <c:pt idx="3">
                  <c:v>583.9</c:v>
                </c:pt>
                <c:pt idx="4">
                  <c:v>608.4</c:v>
                </c:pt>
                <c:pt idx="5">
                  <c:v>2953</c:v>
                </c:pt>
                <c:pt idx="6">
                  <c:v>5288</c:v>
                </c:pt>
                <c:pt idx="7">
                  <c:v>4234.3999999999996</c:v>
                </c:pt>
                <c:pt idx="8">
                  <c:v>1910.4</c:v>
                </c:pt>
                <c:pt idx="9">
                  <c:v>6361.9</c:v>
                </c:pt>
                <c:pt idx="10">
                  <c:v>3337.1</c:v>
                </c:pt>
                <c:pt idx="11">
                  <c:v>9063.5</c:v>
                </c:pt>
                <c:pt idx="12">
                  <c:v>14315.8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3532864"/>
        <c:axId val="29353325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2'!$C$53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2'!$D$53:$P$53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2'!$C$58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2'!$D$58:$P$58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2'!$C$62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2'!$D$62:$P$62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2'!$C$64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2'!$D$64:$P$64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2'!$C$65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2'!$D$65:$P$65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2'!$C$66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2'!$D$66:$P$66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2'!$C$67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2'!$D$67:$P$67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2'!$D$72:$O$72</c:f>
              <c:numCache>
                <c:formatCode>General</c:formatCode>
                <c:ptCount val="12"/>
              </c:numCache>
            </c:numRef>
          </c:val>
          <c:smooth val="0"/>
        </c:ser>
        <c:ser>
          <c:idx val="0"/>
          <c:order val="17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2'!$D$71:$P$71</c:f>
              <c:numCache>
                <c:formatCode>#,##0.0</c:formatCode>
                <c:ptCount val="13"/>
                <c:pt idx="0">
                  <c:v>5.3591661432000004</c:v>
                </c:pt>
                <c:pt idx="1">
                  <c:v>3.8641131987000001</c:v>
                </c:pt>
                <c:pt idx="2">
                  <c:v>5.2265654805999997</c:v>
                </c:pt>
                <c:pt idx="3">
                  <c:v>17.557231438199999</c:v>
                </c:pt>
                <c:pt idx="4">
                  <c:v>26.8690120306</c:v>
                </c:pt>
                <c:pt idx="5">
                  <c:v>23.897432801400001</c:v>
                </c:pt>
                <c:pt idx="6">
                  <c:v>26.829993639400001</c:v>
                </c:pt>
                <c:pt idx="7">
                  <c:v>38.168603739600002</c:v>
                </c:pt>
                <c:pt idx="8">
                  <c:v>34.907456206600003</c:v>
                </c:pt>
                <c:pt idx="9">
                  <c:v>40.305706087300003</c:v>
                </c:pt>
                <c:pt idx="10">
                  <c:v>51.364834243200001</c:v>
                </c:pt>
                <c:pt idx="11">
                  <c:v>28.525761104899999</c:v>
                </c:pt>
                <c:pt idx="12">
                  <c:v>19.292700864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4040"/>
        <c:axId val="293533648"/>
      </c:lineChart>
      <c:catAx>
        <c:axId val="2935328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293533256"/>
        <c:crosses val="autoZero"/>
        <c:auto val="1"/>
        <c:lblAlgn val="ctr"/>
        <c:lblOffset val="100"/>
        <c:noMultiLvlLbl val="0"/>
      </c:catAx>
      <c:valAx>
        <c:axId val="293533256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32864"/>
        <c:crosses val="autoZero"/>
        <c:crossBetween val="between"/>
        <c:dispUnits>
          <c:builtInUnit val="thousands"/>
        </c:dispUnits>
      </c:valAx>
      <c:valAx>
        <c:axId val="293533648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34040"/>
        <c:crosses val="max"/>
        <c:crossBetween val="between"/>
        <c:majorUnit val="15"/>
      </c:valAx>
      <c:catAx>
        <c:axId val="293534040"/>
        <c:scaling>
          <c:orientation val="minMax"/>
        </c:scaling>
        <c:delete val="1"/>
        <c:axPos val="t"/>
        <c:majorTickMark val="out"/>
        <c:minorTickMark val="none"/>
        <c:tickLblPos val="nextTo"/>
        <c:crossAx val="293533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'Data 2'!$C$37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2'!$D$37:$P$37</c:f>
              <c:numCache>
                <c:formatCode>#,##0.0</c:formatCode>
                <c:ptCount val="13"/>
                <c:pt idx="0">
                  <c:v>46981.5</c:v>
                </c:pt>
                <c:pt idx="1">
                  <c:v>48797.4</c:v>
                </c:pt>
                <c:pt idx="2">
                  <c:v>53629.9</c:v>
                </c:pt>
                <c:pt idx="3">
                  <c:v>56105.7</c:v>
                </c:pt>
                <c:pt idx="4">
                  <c:v>52336</c:v>
                </c:pt>
                <c:pt idx="5">
                  <c:v>37334.5</c:v>
                </c:pt>
                <c:pt idx="6">
                  <c:v>37698.5</c:v>
                </c:pt>
                <c:pt idx="7">
                  <c:v>28157.599999999999</c:v>
                </c:pt>
                <c:pt idx="8">
                  <c:v>34938.5</c:v>
                </c:pt>
                <c:pt idx="9">
                  <c:v>38367.5</c:v>
                </c:pt>
                <c:pt idx="10">
                  <c:v>33693.800000000003</c:v>
                </c:pt>
                <c:pt idx="11">
                  <c:v>19518.400000000001</c:v>
                </c:pt>
                <c:pt idx="12">
                  <c:v>27782.799999999999</c:v>
                </c:pt>
              </c:numCache>
            </c:numRef>
          </c:val>
        </c:ser>
        <c:ser>
          <c:idx val="3"/>
          <c:order val="2"/>
          <c:tx>
            <c:strRef>
              <c:f>'Data 2'!$C$38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2'!$D$38:$P$38</c:f>
              <c:numCache>
                <c:formatCode>#,##0.0</c:formatCode>
                <c:ptCount val="13"/>
                <c:pt idx="0">
                  <c:v>51189.9</c:v>
                </c:pt>
                <c:pt idx="1">
                  <c:v>57355.9</c:v>
                </c:pt>
                <c:pt idx="2">
                  <c:v>65079.6</c:v>
                </c:pt>
                <c:pt idx="3">
                  <c:v>88155</c:v>
                </c:pt>
                <c:pt idx="4">
                  <c:v>94541.2</c:v>
                </c:pt>
                <c:pt idx="5">
                  <c:v>67871</c:v>
                </c:pt>
                <c:pt idx="6">
                  <c:v>66682.3</c:v>
                </c:pt>
                <c:pt idx="7">
                  <c:v>75179.899999999994</c:v>
                </c:pt>
                <c:pt idx="8">
                  <c:v>96462</c:v>
                </c:pt>
                <c:pt idx="9">
                  <c:v>66989.600000000006</c:v>
                </c:pt>
                <c:pt idx="10">
                  <c:v>71645.3</c:v>
                </c:pt>
                <c:pt idx="11">
                  <c:v>30319.3</c:v>
                </c:pt>
                <c:pt idx="12">
                  <c:v>47861.9</c:v>
                </c:pt>
              </c:numCache>
            </c:numRef>
          </c:val>
        </c:ser>
        <c:ser>
          <c:idx val="4"/>
          <c:order val="3"/>
          <c:tx>
            <c:strRef>
              <c:f>'Data 2'!$C$39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2'!$D$39:$P$39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2.2000000000000002</c:v>
                </c:pt>
                <c:pt idx="8">
                  <c:v>10.5</c:v>
                </c:pt>
                <c:pt idx="9">
                  <c:v>22.7</c:v>
                </c:pt>
                <c:pt idx="10">
                  <c:v>16.3</c:v>
                </c:pt>
                <c:pt idx="11">
                  <c:v>9.6</c:v>
                </c:pt>
                <c:pt idx="12">
                  <c:v>30.1</c:v>
                </c:pt>
              </c:numCache>
            </c:numRef>
          </c:val>
        </c:ser>
        <c:ser>
          <c:idx val="5"/>
          <c:order val="4"/>
          <c:tx>
            <c:strRef>
              <c:f>'Data 2'!$C$40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2'!$D$40:$P$40</c:f>
              <c:numCache>
                <c:formatCode>#,##0.0</c:formatCode>
                <c:ptCount val="13"/>
                <c:pt idx="0">
                  <c:v>6160.8</c:v>
                </c:pt>
                <c:pt idx="1">
                  <c:v>12859</c:v>
                </c:pt>
                <c:pt idx="2">
                  <c:v>15177.5</c:v>
                </c:pt>
                <c:pt idx="3">
                  <c:v>4098</c:v>
                </c:pt>
                <c:pt idx="4">
                  <c:v>1399.6</c:v>
                </c:pt>
                <c:pt idx="5">
                  <c:v>1577.6</c:v>
                </c:pt>
                <c:pt idx="6">
                  <c:v>1355</c:v>
                </c:pt>
                <c:pt idx="7">
                  <c:v>3499.1</c:v>
                </c:pt>
                <c:pt idx="8">
                  <c:v>3432.1</c:v>
                </c:pt>
                <c:pt idx="9">
                  <c:v>3010.5</c:v>
                </c:pt>
                <c:pt idx="10">
                  <c:v>5899.1</c:v>
                </c:pt>
                <c:pt idx="11">
                  <c:v>4595.7</c:v>
                </c:pt>
                <c:pt idx="12">
                  <c:v>3279.6</c:v>
                </c:pt>
              </c:numCache>
            </c:numRef>
          </c:val>
        </c:ser>
        <c:ser>
          <c:idx val="7"/>
          <c:order val="6"/>
          <c:tx>
            <c:strRef>
              <c:f>'Data 2'!$C$42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2'!$D$42:$P$42</c:f>
              <c:numCache>
                <c:formatCode>#,##0.0</c:formatCode>
                <c:ptCount val="13"/>
                <c:pt idx="0">
                  <c:v>0</c:v>
                </c:pt>
                <c:pt idx="1">
                  <c:v>204.7</c:v>
                </c:pt>
                <c:pt idx="2">
                  <c:v>1551.4</c:v>
                </c:pt>
                <c:pt idx="3">
                  <c:v>1765.6</c:v>
                </c:pt>
                <c:pt idx="4">
                  <c:v>1952.7</c:v>
                </c:pt>
                <c:pt idx="5">
                  <c:v>2939.5</c:v>
                </c:pt>
                <c:pt idx="6">
                  <c:v>2661.1</c:v>
                </c:pt>
                <c:pt idx="7">
                  <c:v>2164.6999999999998</c:v>
                </c:pt>
                <c:pt idx="8">
                  <c:v>3197.2</c:v>
                </c:pt>
                <c:pt idx="9">
                  <c:v>2208.6</c:v>
                </c:pt>
                <c:pt idx="10">
                  <c:v>4288.7</c:v>
                </c:pt>
                <c:pt idx="11">
                  <c:v>2486.3000000000002</c:v>
                </c:pt>
                <c:pt idx="12">
                  <c:v>3494.1</c:v>
                </c:pt>
              </c:numCache>
            </c:numRef>
          </c:val>
        </c:ser>
        <c:ser>
          <c:idx val="9"/>
          <c:order val="7"/>
          <c:tx>
            <c:strRef>
              <c:f>'Data 2'!$C$44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2'!$D$44:$P$44</c:f>
              <c:numCache>
                <c:formatCode>#,##0.0</c:formatCode>
                <c:ptCount val="13"/>
                <c:pt idx="0">
                  <c:v>79699.3</c:v>
                </c:pt>
                <c:pt idx="1">
                  <c:v>61249.4</c:v>
                </c:pt>
                <c:pt idx="2">
                  <c:v>50504.5</c:v>
                </c:pt>
                <c:pt idx="3">
                  <c:v>53472.5</c:v>
                </c:pt>
                <c:pt idx="4">
                  <c:v>50314</c:v>
                </c:pt>
                <c:pt idx="5">
                  <c:v>37964.300000000003</c:v>
                </c:pt>
                <c:pt idx="6">
                  <c:v>53272.9</c:v>
                </c:pt>
                <c:pt idx="7">
                  <c:v>70061.5</c:v>
                </c:pt>
                <c:pt idx="8">
                  <c:v>72313.8</c:v>
                </c:pt>
                <c:pt idx="9">
                  <c:v>52585.3</c:v>
                </c:pt>
                <c:pt idx="10">
                  <c:v>99664.7</c:v>
                </c:pt>
                <c:pt idx="11">
                  <c:v>21689.9</c:v>
                </c:pt>
                <c:pt idx="12">
                  <c:v>75296.7</c:v>
                </c:pt>
              </c:numCache>
            </c:numRef>
          </c:val>
        </c:ser>
        <c:ser>
          <c:idx val="8"/>
          <c:order val="8"/>
          <c:tx>
            <c:strRef>
              <c:f>'Data 2'!$C$43</c:f>
              <c:strCache>
                <c:ptCount val="1"/>
                <c:pt idx="0">
                  <c:v>Fuel-Gas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2'!$D$43:$P$43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'Data 2'!$C$46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2'!$D$46:$P$46</c:f>
              <c:numCache>
                <c:formatCode>#,##0.0</c:formatCode>
                <c:ptCount val="13"/>
                <c:pt idx="0">
                  <c:v>394.1</c:v>
                </c:pt>
                <c:pt idx="1">
                  <c:v>0</c:v>
                </c:pt>
                <c:pt idx="2">
                  <c:v>57</c:v>
                </c:pt>
                <c:pt idx="3">
                  <c:v>75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21.9</c:v>
                </c:pt>
                <c:pt idx="8">
                  <c:v>0</c:v>
                </c:pt>
                <c:pt idx="9">
                  <c:v>619.5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6"/>
          <c:order val="15"/>
          <c:tx>
            <c:strRef>
              <c:f>'Data 2'!$C$51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2'!$D$51:$P$51</c:f>
              <c:numCache>
                <c:formatCode>#,##0.0</c:formatCode>
                <c:ptCount val="13"/>
                <c:pt idx="0">
                  <c:v>36350.1</c:v>
                </c:pt>
                <c:pt idx="1">
                  <c:v>38883.699999999997</c:v>
                </c:pt>
                <c:pt idx="2">
                  <c:v>37889.800000000003</c:v>
                </c:pt>
                <c:pt idx="3">
                  <c:v>25898.400000000001</c:v>
                </c:pt>
                <c:pt idx="4">
                  <c:v>24575.3</c:v>
                </c:pt>
                <c:pt idx="5">
                  <c:v>23687.200000000001</c:v>
                </c:pt>
                <c:pt idx="6">
                  <c:v>23588.2</c:v>
                </c:pt>
                <c:pt idx="7">
                  <c:v>29280.6</c:v>
                </c:pt>
                <c:pt idx="8">
                  <c:v>56573.1</c:v>
                </c:pt>
                <c:pt idx="9">
                  <c:v>39099.800000000003</c:v>
                </c:pt>
                <c:pt idx="10">
                  <c:v>74414.2</c:v>
                </c:pt>
                <c:pt idx="11">
                  <c:v>32220.5</c:v>
                </c:pt>
                <c:pt idx="12">
                  <c:v>32248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3534824"/>
        <c:axId val="293535216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2'!$C$36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2'!$D$36:$P$36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2'!$C$41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2'!$D$41:$P$41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2'!$C$45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2'!$D$45:$P$45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2'!$C$47</c15:sqref>
                        </c15:formulaRef>
                      </c:ext>
                    </c:extLst>
                    <c:strCache>
                      <c:ptCount val="1"/>
                      <c:pt idx="0">
                        <c:v>Otras Renovables</c:v>
                      </c:pt>
                    </c:strCache>
                  </c:strRef>
                </c:tx>
                <c:spPr>
                  <a:solidFill>
                    <a:srgbClr val="9999FF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2'!$D$47:$P$47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2'!$C$48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2'!$D$48:$P$48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2'!$C$49</c15:sqref>
                        </c15:formulaRef>
                      </c:ext>
                    </c:extLst>
                    <c:strCache>
                      <c:ptCount val="1"/>
                      <c:pt idx="0">
                        <c:v>Solar fotovoltaica</c:v>
                      </c:pt>
                    </c:strCache>
                  </c:strRef>
                </c:tx>
                <c:spPr>
                  <a:solidFill>
                    <a:srgbClr val="EE611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2'!$D$49:$P$49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2'!$C$50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2'!$D$35:$P$35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2'!$D$50:$P$50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6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2'!$D$35:$P$35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2'!$D$70:$P$70</c:f>
              <c:numCache>
                <c:formatCode>#,##0.0</c:formatCode>
                <c:ptCount val="13"/>
                <c:pt idx="0">
                  <c:v>42.131023658899998</c:v>
                </c:pt>
                <c:pt idx="1">
                  <c:v>38.967348635800001</c:v>
                </c:pt>
                <c:pt idx="2">
                  <c:v>38.0888409784</c:v>
                </c:pt>
                <c:pt idx="3">
                  <c:v>46.215583904200003</c:v>
                </c:pt>
                <c:pt idx="4">
                  <c:v>46.918287322099999</c:v>
                </c:pt>
                <c:pt idx="5">
                  <c:v>46.1267665349</c:v>
                </c:pt>
                <c:pt idx="6">
                  <c:v>49.102792214099999</c:v>
                </c:pt>
                <c:pt idx="7">
                  <c:v>59.519913470200002</c:v>
                </c:pt>
                <c:pt idx="8">
                  <c:v>67.237482616999998</c:v>
                </c:pt>
                <c:pt idx="9">
                  <c:v>69.353032254200002</c:v>
                </c:pt>
                <c:pt idx="10">
                  <c:v>86.022068378100002</c:v>
                </c:pt>
                <c:pt idx="11">
                  <c:v>68.272500196199999</c:v>
                </c:pt>
                <c:pt idx="12">
                  <c:v>53.459637766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36000"/>
        <c:axId val="293535608"/>
      </c:lineChart>
      <c:catAx>
        <c:axId val="29353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35216"/>
        <c:crosses val="autoZero"/>
        <c:auto val="1"/>
        <c:lblAlgn val="ctr"/>
        <c:lblOffset val="100"/>
        <c:noMultiLvlLbl val="0"/>
      </c:catAx>
      <c:valAx>
        <c:axId val="2935352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34824"/>
        <c:crosses val="autoZero"/>
        <c:crossBetween val="between"/>
        <c:dispUnits>
          <c:builtInUnit val="thousands"/>
        </c:dispUnits>
      </c:valAx>
      <c:valAx>
        <c:axId val="293535608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36000"/>
        <c:crosses val="max"/>
        <c:crossBetween val="between"/>
        <c:majorUnit val="15"/>
      </c:valAx>
      <c:catAx>
        <c:axId val="29353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3535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2'!$C$93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2'!$D$93:$P$93</c:f>
              <c:numCache>
                <c:formatCode>#,##0.0</c:formatCode>
                <c:ptCount val="13"/>
                <c:pt idx="0">
                  <c:v>8482.9</c:v>
                </c:pt>
                <c:pt idx="1">
                  <c:v>2481.1999999999998</c:v>
                </c:pt>
                <c:pt idx="2">
                  <c:v>2502.1</c:v>
                </c:pt>
                <c:pt idx="3">
                  <c:v>9826.2999999999993</c:v>
                </c:pt>
                <c:pt idx="4">
                  <c:v>16804.900000000001</c:v>
                </c:pt>
                <c:pt idx="5">
                  <c:v>20254.099999999999</c:v>
                </c:pt>
                <c:pt idx="6">
                  <c:v>28176.400000000001</c:v>
                </c:pt>
                <c:pt idx="7">
                  <c:v>10892.6</c:v>
                </c:pt>
                <c:pt idx="8">
                  <c:v>5563.5</c:v>
                </c:pt>
                <c:pt idx="9">
                  <c:v>12581.1</c:v>
                </c:pt>
                <c:pt idx="10">
                  <c:v>7306.9</c:v>
                </c:pt>
                <c:pt idx="11">
                  <c:v>50376</c:v>
                </c:pt>
                <c:pt idx="12">
                  <c:v>46429</c:v>
                </c:pt>
              </c:numCache>
            </c:numRef>
          </c:val>
        </c:ser>
        <c:ser>
          <c:idx val="1"/>
          <c:order val="1"/>
          <c:tx>
            <c:strRef>
              <c:f>'Data 2'!$C$94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2'!$D$94:$P$94</c:f>
              <c:numCache>
                <c:formatCode>#,##0.0</c:formatCode>
                <c:ptCount val="13"/>
                <c:pt idx="0">
                  <c:v>1097</c:v>
                </c:pt>
                <c:pt idx="1">
                  <c:v>973</c:v>
                </c:pt>
                <c:pt idx="2">
                  <c:v>1126</c:v>
                </c:pt>
                <c:pt idx="3">
                  <c:v>3497.3</c:v>
                </c:pt>
                <c:pt idx="4">
                  <c:v>9200.1</c:v>
                </c:pt>
                <c:pt idx="5">
                  <c:v>4502.5</c:v>
                </c:pt>
                <c:pt idx="6">
                  <c:v>12664.3</c:v>
                </c:pt>
                <c:pt idx="7">
                  <c:v>9459.2999999999993</c:v>
                </c:pt>
                <c:pt idx="8">
                  <c:v>5060.2</c:v>
                </c:pt>
                <c:pt idx="9">
                  <c:v>13203.9</c:v>
                </c:pt>
                <c:pt idx="10">
                  <c:v>11559.1</c:v>
                </c:pt>
                <c:pt idx="11">
                  <c:v>18600.8</c:v>
                </c:pt>
                <c:pt idx="12">
                  <c:v>22875.8</c:v>
                </c:pt>
              </c:numCache>
            </c:numRef>
          </c:val>
        </c:ser>
        <c:ser>
          <c:idx val="2"/>
          <c:order val="2"/>
          <c:tx>
            <c:strRef>
              <c:f>'Data 2'!$C$95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2'!$D$95:$P$95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113</c:v>
                </c:pt>
                <c:pt idx="9">
                  <c:v>233</c:v>
                </c:pt>
                <c:pt idx="10">
                  <c:v>88</c:v>
                </c:pt>
                <c:pt idx="11">
                  <c:v>92.8</c:v>
                </c:pt>
                <c:pt idx="12">
                  <c:v>230</c:v>
                </c:pt>
              </c:numCache>
            </c:numRef>
          </c:val>
        </c:ser>
        <c:ser>
          <c:idx val="3"/>
          <c:order val="3"/>
          <c:tx>
            <c:strRef>
              <c:f>'Data 2'!$C$96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2'!$D$96:$P$96</c:f>
              <c:numCache>
                <c:formatCode>#,##0.0</c:formatCode>
                <c:ptCount val="13"/>
                <c:pt idx="0">
                  <c:v>28368.3</c:v>
                </c:pt>
                <c:pt idx="1">
                  <c:v>16964.8</c:v>
                </c:pt>
                <c:pt idx="2">
                  <c:v>10105.799999999999</c:v>
                </c:pt>
                <c:pt idx="3">
                  <c:v>8231.5</c:v>
                </c:pt>
                <c:pt idx="4">
                  <c:v>4654.1000000000004</c:v>
                </c:pt>
                <c:pt idx="5">
                  <c:v>14825.7</c:v>
                </c:pt>
                <c:pt idx="6">
                  <c:v>15166.3</c:v>
                </c:pt>
                <c:pt idx="7">
                  <c:v>7585</c:v>
                </c:pt>
                <c:pt idx="8">
                  <c:v>7129.2</c:v>
                </c:pt>
                <c:pt idx="9">
                  <c:v>6261.8</c:v>
                </c:pt>
                <c:pt idx="10">
                  <c:v>7999</c:v>
                </c:pt>
                <c:pt idx="11">
                  <c:v>18257.2</c:v>
                </c:pt>
                <c:pt idx="12">
                  <c:v>26858.5</c:v>
                </c:pt>
              </c:numCache>
            </c:numRef>
          </c:val>
        </c:ser>
        <c:ser>
          <c:idx val="4"/>
          <c:order val="4"/>
          <c:tx>
            <c:strRef>
              <c:f>'Data 2'!$C$97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2'!$D$97:$P$97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176.9</c:v>
                </c:pt>
                <c:pt idx="3">
                  <c:v>242</c:v>
                </c:pt>
                <c:pt idx="4">
                  <c:v>369.5</c:v>
                </c:pt>
                <c:pt idx="5">
                  <c:v>422.9</c:v>
                </c:pt>
                <c:pt idx="6">
                  <c:v>462.1</c:v>
                </c:pt>
                <c:pt idx="7">
                  <c:v>201.8</c:v>
                </c:pt>
                <c:pt idx="8">
                  <c:v>169.4</c:v>
                </c:pt>
                <c:pt idx="9">
                  <c:v>220.5</c:v>
                </c:pt>
                <c:pt idx="10">
                  <c:v>402.8</c:v>
                </c:pt>
                <c:pt idx="11">
                  <c:v>867.9</c:v>
                </c:pt>
                <c:pt idx="12">
                  <c:v>1566</c:v>
                </c:pt>
              </c:numCache>
            </c:numRef>
          </c:val>
        </c:ser>
        <c:ser>
          <c:idx val="5"/>
          <c:order val="5"/>
          <c:tx>
            <c:strRef>
              <c:f>'Data 2'!$C$98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2'!$D$98:$P$98</c:f>
              <c:numCache>
                <c:formatCode>#,##0.0</c:formatCode>
                <c:ptCount val="13"/>
                <c:pt idx="0">
                  <c:v>6471.7</c:v>
                </c:pt>
                <c:pt idx="1">
                  <c:v>7876.1</c:v>
                </c:pt>
                <c:pt idx="2">
                  <c:v>4467.7</c:v>
                </c:pt>
                <c:pt idx="3">
                  <c:v>3677.4</c:v>
                </c:pt>
                <c:pt idx="4">
                  <c:v>7625.8</c:v>
                </c:pt>
                <c:pt idx="5">
                  <c:v>13215.2</c:v>
                </c:pt>
                <c:pt idx="6">
                  <c:v>8996.5</c:v>
                </c:pt>
                <c:pt idx="7">
                  <c:v>8745.2999999999993</c:v>
                </c:pt>
                <c:pt idx="8">
                  <c:v>3964.2</c:v>
                </c:pt>
                <c:pt idx="9">
                  <c:v>5846.4</c:v>
                </c:pt>
                <c:pt idx="10">
                  <c:v>17797.7</c:v>
                </c:pt>
                <c:pt idx="11">
                  <c:v>17793.5</c:v>
                </c:pt>
                <c:pt idx="12">
                  <c:v>20878.900000000001</c:v>
                </c:pt>
              </c:numCache>
            </c:numRef>
          </c:val>
        </c:ser>
        <c:ser>
          <c:idx val="9"/>
          <c:order val="6"/>
          <c:tx>
            <c:strRef>
              <c:f>'Data 2'!$C$100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2'!$D$100:$P$100</c:f>
              <c:numCache>
                <c:formatCode>#,##0.0</c:formatCode>
                <c:ptCount val="13"/>
                <c:pt idx="0">
                  <c:v>4284.6000000000004</c:v>
                </c:pt>
                <c:pt idx="1">
                  <c:v>1848.7</c:v>
                </c:pt>
                <c:pt idx="2">
                  <c:v>1975.3</c:v>
                </c:pt>
                <c:pt idx="3">
                  <c:v>129.80000000000001</c:v>
                </c:pt>
                <c:pt idx="4">
                  <c:v>107.2</c:v>
                </c:pt>
                <c:pt idx="5">
                  <c:v>462.9</c:v>
                </c:pt>
                <c:pt idx="6">
                  <c:v>3124.7</c:v>
                </c:pt>
                <c:pt idx="7">
                  <c:v>691.6</c:v>
                </c:pt>
                <c:pt idx="8">
                  <c:v>709</c:v>
                </c:pt>
                <c:pt idx="9">
                  <c:v>1688.7</c:v>
                </c:pt>
                <c:pt idx="10">
                  <c:v>1941.3</c:v>
                </c:pt>
                <c:pt idx="11">
                  <c:v>4596.7</c:v>
                </c:pt>
                <c:pt idx="12">
                  <c:v>13810.2</c:v>
                </c:pt>
              </c:numCache>
            </c:numRef>
          </c:val>
        </c:ser>
        <c:ser>
          <c:idx val="6"/>
          <c:order val="7"/>
          <c:tx>
            <c:strRef>
              <c:f>'Data 2'!$C$99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'Data 2'!$D$99:$P$99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757704"/>
        <c:axId val="292758096"/>
      </c:barChart>
      <c:lineChart>
        <c:grouping val="standard"/>
        <c:varyColors val="0"/>
        <c:ser>
          <c:idx val="8"/>
          <c:order val="8"/>
          <c:tx>
            <c:v>Precio medio a subir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'Data 2'!$D$104:$P$104</c:f>
              <c:numCache>
                <c:formatCode>mmm\-yy</c:formatCode>
                <c:ptCount val="13"/>
              </c:numCache>
            </c:numRef>
          </c:val>
          <c:smooth val="0"/>
        </c:ser>
        <c:ser>
          <c:idx val="7"/>
          <c:order val="9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2'!$D$103:$P$103</c:f>
              <c:numCache>
                <c:formatCode>#,##0.0</c:formatCode>
                <c:ptCount val="13"/>
                <c:pt idx="0">
                  <c:v>13.8918163619</c:v>
                </c:pt>
                <c:pt idx="1">
                  <c:v>4.8816104804</c:v>
                </c:pt>
                <c:pt idx="2">
                  <c:v>12.8525263096</c:v>
                </c:pt>
                <c:pt idx="3">
                  <c:v>24.859456028899999</c:v>
                </c:pt>
                <c:pt idx="4">
                  <c:v>31.8991628313</c:v>
                </c:pt>
                <c:pt idx="5">
                  <c:v>26.904423163299999</c:v>
                </c:pt>
                <c:pt idx="6">
                  <c:v>32.704484016000002</c:v>
                </c:pt>
                <c:pt idx="7">
                  <c:v>42.427821282799997</c:v>
                </c:pt>
                <c:pt idx="8">
                  <c:v>39.590902965799998</c:v>
                </c:pt>
                <c:pt idx="9">
                  <c:v>47.524236561400002</c:v>
                </c:pt>
                <c:pt idx="10">
                  <c:v>56.505910843700001</c:v>
                </c:pt>
                <c:pt idx="11">
                  <c:v>39.278952461000003</c:v>
                </c:pt>
                <c:pt idx="12">
                  <c:v>30.862738864499999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58880"/>
        <c:axId val="292758488"/>
      </c:lineChart>
      <c:catAx>
        <c:axId val="2927577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292758096"/>
        <c:crosses val="autoZero"/>
        <c:auto val="1"/>
        <c:lblAlgn val="ctr"/>
        <c:lblOffset val="100"/>
        <c:noMultiLvlLbl val="0"/>
      </c:catAx>
      <c:valAx>
        <c:axId val="292758096"/>
        <c:scaling>
          <c:orientation val="maxMin"/>
          <c:max val="18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57704"/>
        <c:crosses val="autoZero"/>
        <c:crossBetween val="between"/>
        <c:dispUnits>
          <c:builtInUnit val="thousands"/>
        </c:dispUnits>
      </c:valAx>
      <c:valAx>
        <c:axId val="292758488"/>
        <c:scaling>
          <c:orientation val="maxMin"/>
          <c:max val="9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58880"/>
        <c:crosses val="max"/>
        <c:crossBetween val="between"/>
        <c:majorUnit val="10"/>
      </c:valAx>
      <c:catAx>
        <c:axId val="292758880"/>
        <c:scaling>
          <c:orientation val="minMax"/>
        </c:scaling>
        <c:delete val="1"/>
        <c:axPos val="t"/>
        <c:majorTickMark val="out"/>
        <c:minorTickMark val="none"/>
        <c:tickLblPos val="nextTo"/>
        <c:crossAx val="292758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'Data 2'!$C$84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2'!$D$84:$P$84</c:f>
              <c:numCache>
                <c:formatCode>#,##0.0</c:formatCode>
                <c:ptCount val="13"/>
                <c:pt idx="0">
                  <c:v>37820.300000000003</c:v>
                </c:pt>
                <c:pt idx="1">
                  <c:v>24502</c:v>
                </c:pt>
                <c:pt idx="2">
                  <c:v>18542.900000000001</c:v>
                </c:pt>
                <c:pt idx="3">
                  <c:v>32003.200000000001</c:v>
                </c:pt>
                <c:pt idx="4">
                  <c:v>51324.2</c:v>
                </c:pt>
                <c:pt idx="5">
                  <c:v>19608</c:v>
                </c:pt>
                <c:pt idx="6">
                  <c:v>51777.2</c:v>
                </c:pt>
                <c:pt idx="7">
                  <c:v>16527.099999999999</c:v>
                </c:pt>
                <c:pt idx="8">
                  <c:v>27911.599999999999</c:v>
                </c:pt>
                <c:pt idx="9">
                  <c:v>14759.8</c:v>
                </c:pt>
                <c:pt idx="10">
                  <c:v>27333.200000000001</c:v>
                </c:pt>
                <c:pt idx="11">
                  <c:v>11782.3</c:v>
                </c:pt>
                <c:pt idx="12">
                  <c:v>10392.299999999999</c:v>
                </c:pt>
              </c:numCache>
            </c:numRef>
          </c:val>
        </c:ser>
        <c:ser>
          <c:idx val="18"/>
          <c:order val="1"/>
          <c:tx>
            <c:strRef>
              <c:f>'Data 2'!$C$85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2'!$D$85:$P$85</c:f>
              <c:numCache>
                <c:formatCode>#,##0.0</c:formatCode>
                <c:ptCount val="13"/>
                <c:pt idx="0">
                  <c:v>19028.5</c:v>
                </c:pt>
                <c:pt idx="1">
                  <c:v>15019.4</c:v>
                </c:pt>
                <c:pt idx="2">
                  <c:v>12194.7</c:v>
                </c:pt>
                <c:pt idx="3">
                  <c:v>25715</c:v>
                </c:pt>
                <c:pt idx="4">
                  <c:v>59857.5</c:v>
                </c:pt>
                <c:pt idx="5">
                  <c:v>34074</c:v>
                </c:pt>
                <c:pt idx="6">
                  <c:v>60003.199999999997</c:v>
                </c:pt>
                <c:pt idx="7">
                  <c:v>30870.5</c:v>
                </c:pt>
                <c:pt idx="8">
                  <c:v>59353</c:v>
                </c:pt>
                <c:pt idx="9">
                  <c:v>21112.2</c:v>
                </c:pt>
                <c:pt idx="10">
                  <c:v>50390.400000000001</c:v>
                </c:pt>
                <c:pt idx="11">
                  <c:v>9297.4</c:v>
                </c:pt>
                <c:pt idx="12">
                  <c:v>9024.7999999999993</c:v>
                </c:pt>
              </c:numCache>
            </c:numRef>
          </c:val>
        </c:ser>
        <c:ser>
          <c:idx val="19"/>
          <c:order val="2"/>
          <c:tx>
            <c:strRef>
              <c:f>'Data 2'!$C$86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2'!$D$86:$P$86</c:f>
              <c:numCache>
                <c:formatCode>#,##0.0</c:formatCode>
                <c:ptCount val="13"/>
                <c:pt idx="0">
                  <c:v>23.8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0"/>
          <c:order val="3"/>
          <c:tx>
            <c:strRef>
              <c:f>'Data 2'!$C$87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2'!$D$87:$P$87</c:f>
              <c:numCache>
                <c:formatCode>#,##0.0</c:formatCode>
                <c:ptCount val="13"/>
                <c:pt idx="0">
                  <c:v>4950.8</c:v>
                </c:pt>
                <c:pt idx="1">
                  <c:v>8611</c:v>
                </c:pt>
                <c:pt idx="2">
                  <c:v>3802.8</c:v>
                </c:pt>
                <c:pt idx="3">
                  <c:v>1834</c:v>
                </c:pt>
                <c:pt idx="4">
                  <c:v>381.3</c:v>
                </c:pt>
                <c:pt idx="5">
                  <c:v>154.80000000000001</c:v>
                </c:pt>
                <c:pt idx="6">
                  <c:v>418.8</c:v>
                </c:pt>
                <c:pt idx="7">
                  <c:v>2014.8</c:v>
                </c:pt>
                <c:pt idx="8">
                  <c:v>2603.5</c:v>
                </c:pt>
                <c:pt idx="9">
                  <c:v>2054.9</c:v>
                </c:pt>
                <c:pt idx="10">
                  <c:v>1420.1</c:v>
                </c:pt>
                <c:pt idx="11">
                  <c:v>2429.3000000000002</c:v>
                </c:pt>
                <c:pt idx="12">
                  <c:v>1213</c:v>
                </c:pt>
              </c:numCache>
            </c:numRef>
          </c:val>
        </c:ser>
        <c:ser>
          <c:idx val="21"/>
          <c:order val="4"/>
          <c:tx>
            <c:strRef>
              <c:f>'Data 2'!$C$88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2'!$D$88:$P$88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29.4</c:v>
                </c:pt>
                <c:pt idx="3">
                  <c:v>309.7</c:v>
                </c:pt>
                <c:pt idx="4">
                  <c:v>830.5</c:v>
                </c:pt>
                <c:pt idx="5">
                  <c:v>407.6</c:v>
                </c:pt>
                <c:pt idx="6">
                  <c:v>585.4</c:v>
                </c:pt>
                <c:pt idx="7">
                  <c:v>341.7</c:v>
                </c:pt>
                <c:pt idx="8">
                  <c:v>562.79999999999995</c:v>
                </c:pt>
                <c:pt idx="9">
                  <c:v>290</c:v>
                </c:pt>
                <c:pt idx="10">
                  <c:v>796.7</c:v>
                </c:pt>
                <c:pt idx="11">
                  <c:v>37.700000000000003</c:v>
                </c:pt>
                <c:pt idx="12">
                  <c:v>83.9</c:v>
                </c:pt>
              </c:numCache>
            </c:numRef>
          </c:val>
        </c:ser>
        <c:ser>
          <c:idx val="22"/>
          <c:order val="5"/>
          <c:tx>
            <c:strRef>
              <c:f>'Data 2'!$C$89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2'!$D$89:$P$89</c:f>
              <c:numCache>
                <c:formatCode>#,##0.0</c:formatCode>
                <c:ptCount val="13"/>
                <c:pt idx="0">
                  <c:v>37761.800000000003</c:v>
                </c:pt>
                <c:pt idx="1">
                  <c:v>21323</c:v>
                </c:pt>
                <c:pt idx="2">
                  <c:v>10110.1</c:v>
                </c:pt>
                <c:pt idx="3">
                  <c:v>15345.5</c:v>
                </c:pt>
                <c:pt idx="4">
                  <c:v>22884.7</c:v>
                </c:pt>
                <c:pt idx="5">
                  <c:v>13164.8</c:v>
                </c:pt>
                <c:pt idx="6">
                  <c:v>30624.400000000001</c:v>
                </c:pt>
                <c:pt idx="7">
                  <c:v>14982.5</c:v>
                </c:pt>
                <c:pt idx="8">
                  <c:v>23494.9</c:v>
                </c:pt>
                <c:pt idx="9">
                  <c:v>9517.7000000000007</c:v>
                </c:pt>
                <c:pt idx="10">
                  <c:v>48799.7</c:v>
                </c:pt>
                <c:pt idx="11">
                  <c:v>5011.6000000000004</c:v>
                </c:pt>
                <c:pt idx="12">
                  <c:v>15815.6</c:v>
                </c:pt>
              </c:numCache>
            </c:numRef>
          </c:val>
        </c:ser>
        <c:ser>
          <c:idx val="23"/>
          <c:order val="6"/>
          <c:tx>
            <c:strRef>
              <c:f>'Data 2'!$C$90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2'!$D$90:$P$90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404.7</c:v>
                </c:pt>
                <c:pt idx="4">
                  <c:v>0</c:v>
                </c:pt>
                <c:pt idx="5">
                  <c:v>150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4"/>
          <c:order val="7"/>
          <c:tx>
            <c:strRef>
              <c:f>'Data 2'!$C$91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2'!$D$91:$P$91</c:f>
              <c:numCache>
                <c:formatCode>#,##0.0</c:formatCode>
                <c:ptCount val="13"/>
                <c:pt idx="0">
                  <c:v>15892.4</c:v>
                </c:pt>
                <c:pt idx="1">
                  <c:v>12131.8</c:v>
                </c:pt>
                <c:pt idx="2">
                  <c:v>15019.5</c:v>
                </c:pt>
                <c:pt idx="3">
                  <c:v>3667.5</c:v>
                </c:pt>
                <c:pt idx="4">
                  <c:v>5850</c:v>
                </c:pt>
                <c:pt idx="5">
                  <c:v>4538.1000000000004</c:v>
                </c:pt>
                <c:pt idx="6">
                  <c:v>11791</c:v>
                </c:pt>
                <c:pt idx="7">
                  <c:v>6233.4</c:v>
                </c:pt>
                <c:pt idx="8">
                  <c:v>15319.9</c:v>
                </c:pt>
                <c:pt idx="9">
                  <c:v>10705.2</c:v>
                </c:pt>
                <c:pt idx="10">
                  <c:v>22768.5</c:v>
                </c:pt>
                <c:pt idx="11">
                  <c:v>3301.6</c:v>
                </c:pt>
                <c:pt idx="12">
                  <c:v>5970.4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2759664"/>
        <c:axId val="292760056"/>
      </c:barChart>
      <c:lineChart>
        <c:grouping val="standard"/>
        <c:varyColors val="0"/>
        <c:ser>
          <c:idx val="15"/>
          <c:order val="8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2'!$D$83:$P$83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2'!$D$102:$P$102</c:f>
              <c:numCache>
                <c:formatCode>#,##0.0</c:formatCode>
                <c:ptCount val="13"/>
                <c:pt idx="0">
                  <c:v>37.474939988400003</c:v>
                </c:pt>
                <c:pt idx="1">
                  <c:v>35.812212577499999</c:v>
                </c:pt>
                <c:pt idx="2">
                  <c:v>35.241335926300003</c:v>
                </c:pt>
                <c:pt idx="3">
                  <c:v>45.437845422999999</c:v>
                </c:pt>
                <c:pt idx="4">
                  <c:v>45.583879125499998</c:v>
                </c:pt>
                <c:pt idx="5">
                  <c:v>46.119075471599999</c:v>
                </c:pt>
                <c:pt idx="6">
                  <c:v>50.606002190700003</c:v>
                </c:pt>
                <c:pt idx="7">
                  <c:v>58.413288431700003</c:v>
                </c:pt>
                <c:pt idx="8">
                  <c:v>64.995111945700003</c:v>
                </c:pt>
                <c:pt idx="9">
                  <c:v>67.596904775699997</c:v>
                </c:pt>
                <c:pt idx="10">
                  <c:v>84.925632340299998</c:v>
                </c:pt>
                <c:pt idx="11">
                  <c:v>75.523737362600002</c:v>
                </c:pt>
                <c:pt idx="12">
                  <c:v>52.278636470599999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60840"/>
        <c:axId val="292760448"/>
      </c:lineChart>
      <c:catAx>
        <c:axId val="29275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60056"/>
        <c:crosses val="autoZero"/>
        <c:auto val="1"/>
        <c:lblAlgn val="ctr"/>
        <c:lblOffset val="100"/>
        <c:noMultiLvlLbl val="0"/>
      </c:catAx>
      <c:valAx>
        <c:axId val="2927600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59664"/>
        <c:crosses val="autoZero"/>
        <c:crossBetween val="between"/>
        <c:dispUnits>
          <c:builtInUnit val="thousands"/>
        </c:dispUnits>
      </c:valAx>
      <c:valAx>
        <c:axId val="292760448"/>
        <c:scaling>
          <c:orientation val="minMax"/>
          <c:max val="9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760840"/>
        <c:crosses val="max"/>
        <c:crossBetween val="between"/>
        <c:majorUnit val="10"/>
      </c:valAx>
      <c:catAx>
        <c:axId val="292760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760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2'!$B$130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'Data 2'!$C$130:$O$130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2132.8000000000002</c:v>
                </c:pt>
                <c:pt idx="4">
                  <c:v>3265.4</c:v>
                </c:pt>
                <c:pt idx="5">
                  <c:v>8244.2000000000007</c:v>
                </c:pt>
                <c:pt idx="6">
                  <c:v>208.4</c:v>
                </c:pt>
                <c:pt idx="7">
                  <c:v>3100.2</c:v>
                </c:pt>
                <c:pt idx="8">
                  <c:v>0</c:v>
                </c:pt>
                <c:pt idx="9">
                  <c:v>0</c:v>
                </c:pt>
                <c:pt idx="10">
                  <c:v>376.2</c:v>
                </c:pt>
                <c:pt idx="11">
                  <c:v>14289.6</c:v>
                </c:pt>
                <c:pt idx="12">
                  <c:v>1420.9</c:v>
                </c:pt>
              </c:numCache>
            </c:numRef>
          </c:val>
        </c:ser>
        <c:ser>
          <c:idx val="4"/>
          <c:order val="1"/>
          <c:tx>
            <c:strRef>
              <c:f>'Data 2'!$B$131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'Data 2'!$C$131:$O$131</c:f>
              <c:numCache>
                <c:formatCode>#,##0.0</c:formatCode>
                <c:ptCount val="13"/>
                <c:pt idx="0">
                  <c:v>0</c:v>
                </c:pt>
                <c:pt idx="1">
                  <c:v>40</c:v>
                </c:pt>
                <c:pt idx="2">
                  <c:v>570.5</c:v>
                </c:pt>
                <c:pt idx="3">
                  <c:v>1653.1</c:v>
                </c:pt>
                <c:pt idx="4">
                  <c:v>16.7</c:v>
                </c:pt>
                <c:pt idx="5">
                  <c:v>904.8</c:v>
                </c:pt>
                <c:pt idx="6">
                  <c:v>783.8</c:v>
                </c:pt>
                <c:pt idx="7">
                  <c:v>1575.6</c:v>
                </c:pt>
                <c:pt idx="8">
                  <c:v>1898.2</c:v>
                </c:pt>
                <c:pt idx="9">
                  <c:v>331</c:v>
                </c:pt>
                <c:pt idx="10">
                  <c:v>910.9</c:v>
                </c:pt>
                <c:pt idx="11">
                  <c:v>859.1</c:v>
                </c:pt>
                <c:pt idx="12">
                  <c:v>0</c:v>
                </c:pt>
              </c:numCache>
            </c:numRef>
          </c:val>
        </c:ser>
        <c:ser>
          <c:idx val="5"/>
          <c:order val="2"/>
          <c:tx>
            <c:strRef>
              <c:f>'Data 2'!$B$132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'Data 2'!$C$132:$O$132</c:f>
              <c:numCache>
                <c:formatCode>#,##0.0</c:formatCode>
                <c:ptCount val="13"/>
                <c:pt idx="0">
                  <c:v>1422.6</c:v>
                </c:pt>
                <c:pt idx="1">
                  <c:v>929.7</c:v>
                </c:pt>
                <c:pt idx="2">
                  <c:v>1413.2</c:v>
                </c:pt>
                <c:pt idx="3">
                  <c:v>89.7</c:v>
                </c:pt>
                <c:pt idx="4">
                  <c:v>18.399999999999999</c:v>
                </c:pt>
                <c:pt idx="5">
                  <c:v>2.7</c:v>
                </c:pt>
                <c:pt idx="6">
                  <c:v>39.5</c:v>
                </c:pt>
                <c:pt idx="7">
                  <c:v>0</c:v>
                </c:pt>
                <c:pt idx="8">
                  <c:v>24.2</c:v>
                </c:pt>
                <c:pt idx="9">
                  <c:v>0</c:v>
                </c:pt>
                <c:pt idx="10">
                  <c:v>0</c:v>
                </c:pt>
                <c:pt idx="11">
                  <c:v>4696.2</c:v>
                </c:pt>
                <c:pt idx="12">
                  <c:v>2021.5</c:v>
                </c:pt>
              </c:numCache>
            </c:numRef>
          </c:val>
        </c:ser>
        <c:ser>
          <c:idx val="6"/>
          <c:order val="3"/>
          <c:tx>
            <c:strRef>
              <c:f>'Data 2'!$B$133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2'!$C$133:$O$133</c:f>
              <c:numCache>
                <c:formatCode>#,##0.0</c:formatCode>
                <c:ptCount val="13"/>
                <c:pt idx="0">
                  <c:v>46116.4</c:v>
                </c:pt>
                <c:pt idx="1">
                  <c:v>39454.400000000001</c:v>
                </c:pt>
                <c:pt idx="2">
                  <c:v>39702.400000000001</c:v>
                </c:pt>
                <c:pt idx="3">
                  <c:v>22758.3</c:v>
                </c:pt>
                <c:pt idx="4">
                  <c:v>3709.8</c:v>
                </c:pt>
                <c:pt idx="5">
                  <c:v>6336.3</c:v>
                </c:pt>
                <c:pt idx="6">
                  <c:v>20030</c:v>
                </c:pt>
                <c:pt idx="7">
                  <c:v>51191.5</c:v>
                </c:pt>
                <c:pt idx="8">
                  <c:v>49736.3</c:v>
                </c:pt>
                <c:pt idx="9">
                  <c:v>101506.1</c:v>
                </c:pt>
                <c:pt idx="10">
                  <c:v>52921.9</c:v>
                </c:pt>
                <c:pt idx="11">
                  <c:v>28184.1</c:v>
                </c:pt>
                <c:pt idx="12">
                  <c:v>27920</c:v>
                </c:pt>
              </c:numCache>
            </c:numRef>
          </c:val>
        </c:ser>
        <c:ser>
          <c:idx val="7"/>
          <c:order val="4"/>
          <c:tx>
            <c:strRef>
              <c:f>'Data 2'!$B$134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'Data 2'!$C$134:$O$134</c:f>
              <c:numCache>
                <c:formatCode>#,##0.0</c:formatCode>
                <c:ptCount val="13"/>
                <c:pt idx="0">
                  <c:v>244.8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213.5</c:v>
                </c:pt>
                <c:pt idx="7">
                  <c:v>0</c:v>
                </c:pt>
                <c:pt idx="8">
                  <c:v>0</c:v>
                </c:pt>
                <c:pt idx="9">
                  <c:v>204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5"/>
          <c:tx>
            <c:strRef>
              <c:f>'Data 2'!$B$136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BA0F16"/>
            </a:solidFill>
            <a:ln>
              <a:noFill/>
            </a:ln>
            <a:effectLst/>
          </c:spPr>
          <c:invertIfNegative val="0"/>
          <c:val>
            <c:numRef>
              <c:f>'Data 2'!$C$136:$O$136</c:f>
              <c:numCache>
                <c:formatCode>#,##0.0</c:formatCode>
                <c:ptCount val="13"/>
                <c:pt idx="0">
                  <c:v>3856.5</c:v>
                </c:pt>
                <c:pt idx="1">
                  <c:v>1791.1</c:v>
                </c:pt>
                <c:pt idx="2">
                  <c:v>426.9</c:v>
                </c:pt>
                <c:pt idx="3">
                  <c:v>206.1</c:v>
                </c:pt>
                <c:pt idx="4">
                  <c:v>1.6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106.7</c:v>
                </c:pt>
                <c:pt idx="10">
                  <c:v>0</c:v>
                </c:pt>
                <c:pt idx="11">
                  <c:v>7974.2</c:v>
                </c:pt>
                <c:pt idx="12">
                  <c:v>2396.1</c:v>
                </c:pt>
              </c:numCache>
            </c:numRef>
          </c:val>
        </c:ser>
        <c:ser>
          <c:idx val="10"/>
          <c:order val="6"/>
          <c:tx>
            <c:strRef>
              <c:f>'Data 2'!$B$137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'Data 2'!$C$137:$O$137</c:f>
              <c:numCache>
                <c:formatCode>#,##0.0</c:formatCode>
                <c:ptCount val="13"/>
                <c:pt idx="0">
                  <c:v>133</c:v>
                </c:pt>
                <c:pt idx="1">
                  <c:v>107.5</c:v>
                </c:pt>
                <c:pt idx="2">
                  <c:v>339.1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28.6</c:v>
                </c:pt>
                <c:pt idx="12">
                  <c:v>21.7</c:v>
                </c:pt>
              </c:numCache>
            </c:numRef>
          </c:val>
        </c:ser>
        <c:ser>
          <c:idx val="0"/>
          <c:order val="7"/>
          <c:tx>
            <c:strRef>
              <c:f>'Data 2'!$B$123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</c:ser>
        <c:ser>
          <c:idx val="12"/>
          <c:order val="8"/>
          <c:tx>
            <c:strRef>
              <c:f>'Data 2'!$B$139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val>
            <c:numRef>
              <c:f>'Data 2'!$C$139:$O$139</c:f>
              <c:numCache>
                <c:formatCode>#,##0.0</c:formatCode>
                <c:ptCount val="13"/>
                <c:pt idx="0">
                  <c:v>261</c:v>
                </c:pt>
                <c:pt idx="1">
                  <c:v>141</c:v>
                </c:pt>
                <c:pt idx="2">
                  <c:v>9.1</c:v>
                </c:pt>
                <c:pt idx="3">
                  <c:v>8.1999999999999993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9"/>
          <c:tx>
            <c:strRef>
              <c:f>'Data 2'!$B$140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'Data 2'!$C$140:$O$140</c:f>
              <c:numCache>
                <c:formatCode>#,##0.0</c:formatCode>
                <c:ptCount val="13"/>
                <c:pt idx="0">
                  <c:v>1246</c:v>
                </c:pt>
                <c:pt idx="1">
                  <c:v>584.1</c:v>
                </c:pt>
                <c:pt idx="2">
                  <c:v>19.100000000000001</c:v>
                </c:pt>
                <c:pt idx="3">
                  <c:v>112.5</c:v>
                </c:pt>
                <c:pt idx="4">
                  <c:v>0</c:v>
                </c:pt>
                <c:pt idx="5">
                  <c:v>0</c:v>
                </c:pt>
                <c:pt idx="6">
                  <c:v>34.200000000000003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224.2</c:v>
                </c:pt>
              </c:numCache>
            </c:numRef>
          </c:val>
        </c:ser>
        <c:ser>
          <c:idx val="14"/>
          <c:order val="10"/>
          <c:tx>
            <c:strRef>
              <c:f>'Data 2'!$B$141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'Data 2'!$C$141:$O$141</c:f>
              <c:numCache>
                <c:formatCode>#,##0.0</c:formatCode>
                <c:ptCount val="13"/>
                <c:pt idx="0">
                  <c:v>2583.9</c:v>
                </c:pt>
                <c:pt idx="1">
                  <c:v>4128.8</c:v>
                </c:pt>
                <c:pt idx="2">
                  <c:v>1985.9</c:v>
                </c:pt>
                <c:pt idx="3">
                  <c:v>1136.7</c:v>
                </c:pt>
                <c:pt idx="4">
                  <c:v>36.6</c:v>
                </c:pt>
                <c:pt idx="5">
                  <c:v>211.7</c:v>
                </c:pt>
                <c:pt idx="6">
                  <c:v>399.9</c:v>
                </c:pt>
                <c:pt idx="7">
                  <c:v>347.6</c:v>
                </c:pt>
                <c:pt idx="8">
                  <c:v>619.4</c:v>
                </c:pt>
                <c:pt idx="9">
                  <c:v>462.2</c:v>
                </c:pt>
                <c:pt idx="10">
                  <c:v>1542.2</c:v>
                </c:pt>
                <c:pt idx="11">
                  <c:v>110.8</c:v>
                </c:pt>
                <c:pt idx="12">
                  <c:v>474.7</c:v>
                </c:pt>
              </c:numCache>
            </c:numRef>
          </c:val>
        </c:ser>
        <c:ser>
          <c:idx val="8"/>
          <c:order val="11"/>
          <c:tx>
            <c:strRef>
              <c:f>'Data 2'!$B$135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'Data 2'!$C$135:$O$135</c:f>
              <c:numCache>
                <c:formatCode>#,##0.0</c:formatCode>
                <c:ptCount val="13"/>
                <c:pt idx="0">
                  <c:v>7321.7</c:v>
                </c:pt>
                <c:pt idx="1">
                  <c:v>2184.1999999999998</c:v>
                </c:pt>
                <c:pt idx="2">
                  <c:v>4712.8999999999996</c:v>
                </c:pt>
                <c:pt idx="3">
                  <c:v>1839.6</c:v>
                </c:pt>
                <c:pt idx="4">
                  <c:v>10611</c:v>
                </c:pt>
                <c:pt idx="5">
                  <c:v>978.8</c:v>
                </c:pt>
                <c:pt idx="6">
                  <c:v>1049.8</c:v>
                </c:pt>
                <c:pt idx="7">
                  <c:v>12.5</c:v>
                </c:pt>
                <c:pt idx="8">
                  <c:v>105.1</c:v>
                </c:pt>
                <c:pt idx="9">
                  <c:v>0</c:v>
                </c:pt>
                <c:pt idx="10">
                  <c:v>42.8</c:v>
                </c:pt>
                <c:pt idx="11">
                  <c:v>39780.1</c:v>
                </c:pt>
                <c:pt idx="12">
                  <c:v>13875.8</c:v>
                </c:pt>
              </c:numCache>
            </c:numRef>
          </c:val>
        </c:ser>
        <c:ser>
          <c:idx val="11"/>
          <c:order val="12"/>
          <c:tx>
            <c:strRef>
              <c:f>'Data 2'!$B$138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val>
            <c:numRef>
              <c:f>'Data 2'!$C$138:$O$138</c:f>
              <c:numCache>
                <c:formatCode>#,##0.0</c:formatCode>
                <c:ptCount val="13"/>
                <c:pt idx="0">
                  <c:v>241.6</c:v>
                </c:pt>
                <c:pt idx="1">
                  <c:v>112.3</c:v>
                </c:pt>
                <c:pt idx="2">
                  <c:v>87.1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224.9</c:v>
                </c:pt>
                <c:pt idx="12">
                  <c:v>98.3</c:v>
                </c:pt>
              </c:numCache>
            </c:numRef>
          </c:val>
        </c:ser>
        <c:ser>
          <c:idx val="16"/>
          <c:order val="13"/>
          <c:tx>
            <c:v>Nuclear</c:v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</c:ser>
        <c:ser>
          <c:idx val="15"/>
          <c:order val="14"/>
          <c:tx>
            <c:strRef>
              <c:f>'Data 2'!$B$142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'Data 2'!$C$142:$O$142</c:f>
              <c:numCache>
                <c:formatCode>#,##0.0</c:formatCode>
                <c:ptCount val="13"/>
                <c:pt idx="0">
                  <c:v>63427.5</c:v>
                </c:pt>
                <c:pt idx="1">
                  <c:v>49473.1</c:v>
                </c:pt>
                <c:pt idx="2">
                  <c:v>49266.2</c:v>
                </c:pt>
                <c:pt idx="3">
                  <c:v>29937</c:v>
                </c:pt>
                <c:pt idx="4">
                  <c:v>17659.5</c:v>
                </c:pt>
                <c:pt idx="5">
                  <c:v>16718.5</c:v>
                </c:pt>
                <c:pt idx="6">
                  <c:v>22759.1</c:v>
                </c:pt>
                <c:pt idx="7">
                  <c:v>56227.4</c:v>
                </c:pt>
                <c:pt idx="8">
                  <c:v>52383.3</c:v>
                </c:pt>
                <c:pt idx="9">
                  <c:v>102610</c:v>
                </c:pt>
                <c:pt idx="10">
                  <c:v>55794</c:v>
                </c:pt>
                <c:pt idx="11">
                  <c:v>96147.6</c:v>
                </c:pt>
                <c:pt idx="12">
                  <c:v>48453.2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108808"/>
        <c:axId val="294109200"/>
      </c:barChart>
      <c:lineChart>
        <c:grouping val="standard"/>
        <c:varyColors val="0"/>
        <c:ser>
          <c:idx val="1"/>
          <c:order val="1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2'!$C$147:$O$147</c:f>
              <c:numCache>
                <c:formatCode>General</c:formatCode>
                <c:ptCount val="13"/>
              </c:numCache>
            </c:numRef>
          </c:val>
          <c:smooth val="0"/>
        </c:ser>
        <c:ser>
          <c:idx val="2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'Data 2'!$C$146:$O$146</c:f>
              <c:numCache>
                <c:formatCode>#,##0.0</c:formatCode>
                <c:ptCount val="13"/>
                <c:pt idx="0">
                  <c:v>13.818519943</c:v>
                </c:pt>
                <c:pt idx="1">
                  <c:v>13.8886613129</c:v>
                </c:pt>
                <c:pt idx="2">
                  <c:v>14.3992637955</c:v>
                </c:pt>
                <c:pt idx="3">
                  <c:v>25.761619400699999</c:v>
                </c:pt>
                <c:pt idx="4">
                  <c:v>8.3765287804999993</c:v>
                </c:pt>
                <c:pt idx="5">
                  <c:v>14.8942357269</c:v>
                </c:pt>
                <c:pt idx="6">
                  <c:v>28.596647239399999</c:v>
                </c:pt>
                <c:pt idx="7">
                  <c:v>33.966924844499999</c:v>
                </c:pt>
                <c:pt idx="8">
                  <c:v>38.3508465484</c:v>
                </c:pt>
                <c:pt idx="9">
                  <c:v>37.917982149499998</c:v>
                </c:pt>
                <c:pt idx="10">
                  <c:v>45.532258665800001</c:v>
                </c:pt>
                <c:pt idx="11">
                  <c:v>12.5385350232</c:v>
                </c:pt>
                <c:pt idx="12">
                  <c:v>19.789182138600001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09984"/>
        <c:axId val="294109592"/>
      </c:lineChart>
      <c:catAx>
        <c:axId val="294108808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294109200"/>
        <c:crosses val="autoZero"/>
        <c:auto val="1"/>
        <c:lblAlgn val="ctr"/>
        <c:lblOffset val="100"/>
        <c:noMultiLvlLbl val="0"/>
      </c:catAx>
      <c:valAx>
        <c:axId val="294109200"/>
        <c:scaling>
          <c:orientation val="maxMin"/>
          <c:max val="24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108808"/>
        <c:crosses val="autoZero"/>
        <c:crossBetween val="between"/>
        <c:majorUnit val="40000"/>
        <c:dispUnits>
          <c:builtInUnit val="thousands"/>
        </c:dispUnits>
      </c:valAx>
      <c:valAx>
        <c:axId val="294109592"/>
        <c:scaling>
          <c:orientation val="maxMin"/>
          <c:max val="18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109984"/>
        <c:crosses val="max"/>
        <c:crossBetween val="between"/>
        <c:majorUnit val="30"/>
      </c:valAx>
      <c:catAx>
        <c:axId val="2941099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94109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577533577533589E-2"/>
          <c:y val="0.84929466886657845"/>
          <c:w val="0.92413726733086343"/>
          <c:h val="0.15070527097253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2'!$B$116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2'!$C$116:$O$116</c:f>
              <c:numCache>
                <c:formatCode>#,##0.0</c:formatCode>
                <c:ptCount val="13"/>
                <c:pt idx="0">
                  <c:v>1586.3</c:v>
                </c:pt>
                <c:pt idx="1">
                  <c:v>576.5</c:v>
                </c:pt>
                <c:pt idx="2">
                  <c:v>3569.6</c:v>
                </c:pt>
                <c:pt idx="3">
                  <c:v>5205</c:v>
                </c:pt>
                <c:pt idx="4">
                  <c:v>210</c:v>
                </c:pt>
                <c:pt idx="5">
                  <c:v>2091.8000000000002</c:v>
                </c:pt>
                <c:pt idx="6">
                  <c:v>456.3</c:v>
                </c:pt>
                <c:pt idx="7">
                  <c:v>53.4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6150</c:v>
                </c:pt>
                <c:pt idx="12">
                  <c:v>0</c:v>
                </c:pt>
              </c:numCache>
            </c:numRef>
          </c:val>
        </c:ser>
        <c:ser>
          <c:idx val="4"/>
          <c:order val="1"/>
          <c:tx>
            <c:strRef>
              <c:f>'Data 2'!$B$117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2'!$C$117:$O$117</c:f>
              <c:numCache>
                <c:formatCode>#,##0.0</c:formatCode>
                <c:ptCount val="13"/>
                <c:pt idx="0">
                  <c:v>26999.7</c:v>
                </c:pt>
                <c:pt idx="1">
                  <c:v>26003.599999999999</c:v>
                </c:pt>
                <c:pt idx="2">
                  <c:v>19753.8</c:v>
                </c:pt>
                <c:pt idx="3">
                  <c:v>22612.799999999999</c:v>
                </c:pt>
                <c:pt idx="4">
                  <c:v>7404.2</c:v>
                </c:pt>
                <c:pt idx="5">
                  <c:v>20206</c:v>
                </c:pt>
                <c:pt idx="6">
                  <c:v>18024.599999999999</c:v>
                </c:pt>
                <c:pt idx="7">
                  <c:v>23642.3</c:v>
                </c:pt>
                <c:pt idx="8">
                  <c:v>27130.5</c:v>
                </c:pt>
                <c:pt idx="9">
                  <c:v>9410.5</c:v>
                </c:pt>
                <c:pt idx="10">
                  <c:v>25945.3</c:v>
                </c:pt>
                <c:pt idx="11">
                  <c:v>9508.4</c:v>
                </c:pt>
                <c:pt idx="12">
                  <c:v>19740.7</c:v>
                </c:pt>
              </c:numCache>
            </c:numRef>
          </c:val>
        </c:ser>
        <c:ser>
          <c:idx val="5"/>
          <c:order val="2"/>
          <c:tx>
            <c:strRef>
              <c:f>'Data 2'!$B$118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2'!$C$118:$O$118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10.4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3"/>
          <c:tx>
            <c:strRef>
              <c:f>'Data 2'!$B$119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2'!$C$119:$O$119</c:f>
              <c:numCache>
                <c:formatCode>#,##0.0</c:formatCode>
                <c:ptCount val="13"/>
                <c:pt idx="0">
                  <c:v>3618.7</c:v>
                </c:pt>
                <c:pt idx="1">
                  <c:v>9984.7000000000007</c:v>
                </c:pt>
                <c:pt idx="2">
                  <c:v>3695</c:v>
                </c:pt>
                <c:pt idx="3">
                  <c:v>5244.3</c:v>
                </c:pt>
                <c:pt idx="4">
                  <c:v>326.10000000000002</c:v>
                </c:pt>
                <c:pt idx="5">
                  <c:v>273.8</c:v>
                </c:pt>
                <c:pt idx="6">
                  <c:v>521.1</c:v>
                </c:pt>
                <c:pt idx="7">
                  <c:v>1821.5</c:v>
                </c:pt>
                <c:pt idx="8">
                  <c:v>1183.5</c:v>
                </c:pt>
                <c:pt idx="9">
                  <c:v>701.1</c:v>
                </c:pt>
                <c:pt idx="10">
                  <c:v>3031.3</c:v>
                </c:pt>
                <c:pt idx="11">
                  <c:v>1469.4</c:v>
                </c:pt>
                <c:pt idx="12">
                  <c:v>1177.9000000000001</c:v>
                </c:pt>
              </c:numCache>
            </c:numRef>
          </c:val>
        </c:ser>
        <c:ser>
          <c:idx val="7"/>
          <c:order val="4"/>
          <c:tx>
            <c:strRef>
              <c:f>'Data 2'!$B$120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2'!$C$120:$O$120</c:f>
              <c:numCache>
                <c:formatCode>#,##0.0</c:formatCode>
                <c:ptCount val="13"/>
                <c:pt idx="0">
                  <c:v>83.2</c:v>
                </c:pt>
                <c:pt idx="1">
                  <c:v>0</c:v>
                </c:pt>
                <c:pt idx="2">
                  <c:v>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279.8</c:v>
                </c:pt>
                <c:pt idx="7">
                  <c:v>200.8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20.399999999999999</c:v>
                </c:pt>
              </c:numCache>
            </c:numRef>
          </c:val>
        </c:ser>
        <c:ser>
          <c:idx val="8"/>
          <c:order val="5"/>
          <c:tx>
            <c:strRef>
              <c:f>'Data 2'!$B$121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2'!$C$121:$O$121</c:f>
              <c:numCache>
                <c:formatCode>#,##0.0</c:formatCode>
                <c:ptCount val="13"/>
                <c:pt idx="0">
                  <c:v>1329.1</c:v>
                </c:pt>
                <c:pt idx="1">
                  <c:v>0</c:v>
                </c:pt>
                <c:pt idx="2">
                  <c:v>1500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43.7</c:v>
                </c:pt>
              </c:numCache>
            </c:numRef>
          </c:val>
        </c:ser>
        <c:ser>
          <c:idx val="9"/>
          <c:order val="6"/>
          <c:tx>
            <c:strRef>
              <c:f>'Data 2'!$B$122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2'!$C$122:$O$122</c:f>
              <c:numCache>
                <c:formatCode>#,##0.0</c:formatCode>
                <c:ptCount val="13"/>
                <c:pt idx="0">
                  <c:v>426.3</c:v>
                </c:pt>
                <c:pt idx="1">
                  <c:v>727.3</c:v>
                </c:pt>
                <c:pt idx="2">
                  <c:v>196.5</c:v>
                </c:pt>
                <c:pt idx="3">
                  <c:v>1878.6</c:v>
                </c:pt>
                <c:pt idx="4">
                  <c:v>195.5</c:v>
                </c:pt>
                <c:pt idx="5">
                  <c:v>0</c:v>
                </c:pt>
                <c:pt idx="6">
                  <c:v>0</c:v>
                </c:pt>
                <c:pt idx="7">
                  <c:v>661</c:v>
                </c:pt>
                <c:pt idx="8">
                  <c:v>312.10000000000002</c:v>
                </c:pt>
                <c:pt idx="9">
                  <c:v>2449.9</c:v>
                </c:pt>
                <c:pt idx="10">
                  <c:v>733.3</c:v>
                </c:pt>
                <c:pt idx="11">
                  <c:v>198</c:v>
                </c:pt>
                <c:pt idx="12">
                  <c:v>849.6</c:v>
                </c:pt>
              </c:numCache>
            </c:numRef>
          </c:val>
        </c:ser>
        <c:ser>
          <c:idx val="10"/>
          <c:order val="7"/>
          <c:tx>
            <c:strRef>
              <c:f>'Data 2'!$B$123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2'!$C$123:$O$123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11465.7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2463.6</c:v>
                </c:pt>
                <c:pt idx="12">
                  <c:v>0</c:v>
                </c:pt>
              </c:numCache>
            </c:numRef>
          </c:val>
        </c:ser>
        <c:ser>
          <c:idx val="11"/>
          <c:order val="8"/>
          <c:tx>
            <c:strRef>
              <c:f>'Data 2'!$B$124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2'!$C$124:$O$124</c:f>
              <c:numCache>
                <c:formatCode>#,##0.0</c:formatCode>
                <c:ptCount val="13"/>
                <c:pt idx="0">
                  <c:v>952.9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9"/>
          <c:tx>
            <c:strRef>
              <c:f>'Data 2'!$B$125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2'!$C$125:$O$125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3"/>
          <c:order val="10"/>
          <c:tx>
            <c:strRef>
              <c:f>'Data 2'!$B$126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2'!$C$126:$O$126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4"/>
          <c:order val="11"/>
          <c:tx>
            <c:strRef>
              <c:f>'Data 2'!$B$127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2'!$C$127:$O$127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5"/>
          <c:order val="12"/>
          <c:tx>
            <c:strRef>
              <c:f>'Data 2'!$B$128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2'!$C$128:$O$128</c:f>
              <c:numCache>
                <c:formatCode>#,##0.0</c:formatCode>
                <c:ptCount val="13"/>
                <c:pt idx="0">
                  <c:v>4767</c:v>
                </c:pt>
                <c:pt idx="1">
                  <c:v>10463.6</c:v>
                </c:pt>
                <c:pt idx="2">
                  <c:v>8519.5</c:v>
                </c:pt>
                <c:pt idx="3">
                  <c:v>7187.7</c:v>
                </c:pt>
                <c:pt idx="4">
                  <c:v>525.79999999999995</c:v>
                </c:pt>
                <c:pt idx="5">
                  <c:v>2688.1</c:v>
                </c:pt>
                <c:pt idx="6">
                  <c:v>1707.9</c:v>
                </c:pt>
                <c:pt idx="7">
                  <c:v>4580.3999999999996</c:v>
                </c:pt>
                <c:pt idx="8">
                  <c:v>6456</c:v>
                </c:pt>
                <c:pt idx="9">
                  <c:v>12070.5</c:v>
                </c:pt>
                <c:pt idx="10">
                  <c:v>4804</c:v>
                </c:pt>
                <c:pt idx="11">
                  <c:v>2519.6999999999998</c:v>
                </c:pt>
                <c:pt idx="12">
                  <c:v>6709.7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110768"/>
        <c:axId val="294111160"/>
      </c:barChart>
      <c:lineChart>
        <c:grouping val="standard"/>
        <c:varyColors val="0"/>
        <c:ser>
          <c:idx val="2"/>
          <c:order val="13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'Data 2'!$C$115:$O$115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2'!$C$145:$O$145</c:f>
              <c:numCache>
                <c:formatCode>#,##0.0</c:formatCode>
                <c:ptCount val="13"/>
                <c:pt idx="0">
                  <c:v>99.744870211700004</c:v>
                </c:pt>
                <c:pt idx="1">
                  <c:v>92.796868855400007</c:v>
                </c:pt>
                <c:pt idx="2">
                  <c:v>85.641688235700002</c:v>
                </c:pt>
                <c:pt idx="3">
                  <c:v>72.567504581199998</c:v>
                </c:pt>
                <c:pt idx="4">
                  <c:v>57.729230165300002</c:v>
                </c:pt>
                <c:pt idx="5">
                  <c:v>79.770314770200002</c:v>
                </c:pt>
                <c:pt idx="6">
                  <c:v>121.30970936609999</c:v>
                </c:pt>
                <c:pt idx="7">
                  <c:v>134.83571758439999</c:v>
                </c:pt>
                <c:pt idx="8">
                  <c:v>133.8397772653</c:v>
                </c:pt>
                <c:pt idx="9">
                  <c:v>113.31356325110001</c:v>
                </c:pt>
                <c:pt idx="10">
                  <c:v>162.96642019590001</c:v>
                </c:pt>
                <c:pt idx="11">
                  <c:v>103.35827039190001</c:v>
                </c:pt>
                <c:pt idx="12">
                  <c:v>110.2333782116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48136"/>
        <c:axId val="422547744"/>
      </c:lineChart>
      <c:catAx>
        <c:axId val="29411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111160"/>
        <c:crosses val="autoZero"/>
        <c:auto val="1"/>
        <c:lblAlgn val="ctr"/>
        <c:lblOffset val="100"/>
        <c:noMultiLvlLbl val="0"/>
      </c:catAx>
      <c:valAx>
        <c:axId val="294111160"/>
        <c:scaling>
          <c:orientation val="minMax"/>
          <c:max val="12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110768"/>
        <c:crosses val="autoZero"/>
        <c:crossBetween val="between"/>
        <c:majorUnit val="20000"/>
        <c:dispUnits>
          <c:builtInUnit val="thousands"/>
        </c:dispUnits>
      </c:valAx>
      <c:valAx>
        <c:axId val="422547744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548136"/>
        <c:crosses val="max"/>
        <c:crossBetween val="between"/>
        <c:majorUnit val="30"/>
      </c:valAx>
      <c:catAx>
        <c:axId val="422548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2547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2486043881618623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'Data 2'!$B$162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2'!$C$162:$O$162</c:f>
              <c:numCache>
                <c:formatCode>#,##0.0</c:formatCode>
                <c:ptCount val="13"/>
                <c:pt idx="0">
                  <c:v>63887.5</c:v>
                </c:pt>
                <c:pt idx="1">
                  <c:v>26224.400000000001</c:v>
                </c:pt>
                <c:pt idx="2">
                  <c:v>115140.8</c:v>
                </c:pt>
                <c:pt idx="3">
                  <c:v>1863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34726.1</c:v>
                </c:pt>
                <c:pt idx="8">
                  <c:v>23135.1</c:v>
                </c:pt>
                <c:pt idx="9">
                  <c:v>5215.5</c:v>
                </c:pt>
                <c:pt idx="10">
                  <c:v>5325.4</c:v>
                </c:pt>
                <c:pt idx="11">
                  <c:v>1383.6</c:v>
                </c:pt>
                <c:pt idx="12">
                  <c:v>6612.9</c:v>
                </c:pt>
              </c:numCache>
            </c:numRef>
          </c:val>
        </c:ser>
        <c:ser>
          <c:idx val="5"/>
          <c:order val="2"/>
          <c:tx>
            <c:strRef>
              <c:f>'Data 2'!$B$163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'M14'!$O$4:$AA$4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2'!$C$163:$O$163</c:f>
              <c:numCache>
                <c:formatCode>#,##0.0</c:formatCode>
                <c:ptCount val="13"/>
                <c:pt idx="0">
                  <c:v>236337.4</c:v>
                </c:pt>
                <c:pt idx="1">
                  <c:v>216603.9</c:v>
                </c:pt>
                <c:pt idx="2">
                  <c:v>176958.3</c:v>
                </c:pt>
                <c:pt idx="3">
                  <c:v>1250.7</c:v>
                </c:pt>
                <c:pt idx="4">
                  <c:v>0</c:v>
                </c:pt>
                <c:pt idx="5">
                  <c:v>0</c:v>
                </c:pt>
                <c:pt idx="6">
                  <c:v>19356.8</c:v>
                </c:pt>
                <c:pt idx="7">
                  <c:v>332294.3</c:v>
                </c:pt>
                <c:pt idx="8">
                  <c:v>196729.3</c:v>
                </c:pt>
                <c:pt idx="9">
                  <c:v>112859.3</c:v>
                </c:pt>
                <c:pt idx="10">
                  <c:v>179227.5</c:v>
                </c:pt>
                <c:pt idx="11">
                  <c:v>10714</c:v>
                </c:pt>
                <c:pt idx="12">
                  <c:v>64802.400000000001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2548920"/>
        <c:axId val="42254931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2'!$B$161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'Data 2'!$C$161:$O$161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2'!$B$164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2'!$C$164:$O$164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2'!$B$165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'M14'!$O$4:$AA$4</c15:sqref>
                        </c15:formulaRef>
                      </c:ext>
                    </c:extLst>
                    <c:strCache>
                      <c:ptCount val="13"/>
                      <c:pt idx="0">
                        <c:v>M</c:v>
                      </c:pt>
                      <c:pt idx="1">
                        <c:v>A</c:v>
                      </c:pt>
                      <c:pt idx="2">
                        <c:v>M</c:v>
                      </c:pt>
                      <c:pt idx="3">
                        <c:v>J</c:v>
                      </c:pt>
                      <c:pt idx="4">
                        <c:v>J</c:v>
                      </c:pt>
                      <c:pt idx="5">
                        <c:v>A</c:v>
                      </c:pt>
                      <c:pt idx="6">
                        <c:v>S</c:v>
                      </c:pt>
                      <c:pt idx="7">
                        <c:v>O</c:v>
                      </c:pt>
                      <c:pt idx="8">
                        <c:v>N</c:v>
                      </c:pt>
                      <c:pt idx="9">
                        <c:v>D</c:v>
                      </c:pt>
                      <c:pt idx="10">
                        <c:v>E</c:v>
                      </c:pt>
                      <c:pt idx="11">
                        <c:v>F</c:v>
                      </c:pt>
                      <c:pt idx="12">
                        <c:v>M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'Data 2'!$C$165:$O$165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2'!$C$177:$O$177</c:f>
              <c:numCache>
                <c:formatCode>#,##0.0</c:formatCode>
                <c:ptCount val="13"/>
                <c:pt idx="0">
                  <c:v>27.33270774675918</c:v>
                </c:pt>
                <c:pt idx="1">
                  <c:v>24.68469078768825</c:v>
                </c:pt>
                <c:pt idx="2">
                  <c:v>21.121754466206841</c:v>
                </c:pt>
                <c:pt idx="3">
                  <c:v>15.350004817419791</c:v>
                </c:pt>
                <c:pt idx="4">
                  <c:v>0</c:v>
                </c:pt>
                <c:pt idx="5">
                  <c:v>0</c:v>
                </c:pt>
                <c:pt idx="6">
                  <c:v>24.21656885435609</c:v>
                </c:pt>
                <c:pt idx="7">
                  <c:v>14.40842994013412</c:v>
                </c:pt>
                <c:pt idx="8">
                  <c:v>14.486918722548889</c:v>
                </c:pt>
                <c:pt idx="9">
                  <c:v>14.401166379278219</c:v>
                </c:pt>
                <c:pt idx="10">
                  <c:v>35.270028485057672</c:v>
                </c:pt>
                <c:pt idx="11">
                  <c:v>27.78792653088216</c:v>
                </c:pt>
                <c:pt idx="12">
                  <c:v>22.16955848396632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50096"/>
        <c:axId val="422549704"/>
      </c:lineChart>
      <c:catAx>
        <c:axId val="422548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549312"/>
        <c:crosses val="autoZero"/>
        <c:auto val="1"/>
        <c:lblAlgn val="ctr"/>
        <c:lblOffset val="100"/>
        <c:noMultiLvlLbl val="0"/>
      </c:catAx>
      <c:valAx>
        <c:axId val="4225493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548920"/>
        <c:crosses val="autoZero"/>
        <c:crossBetween val="between"/>
        <c:dispUnits>
          <c:builtInUnit val="thousands"/>
        </c:dispUnits>
      </c:valAx>
      <c:valAx>
        <c:axId val="42254970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550096"/>
        <c:crosses val="max"/>
        <c:crossBetween val="between"/>
      </c:valAx>
      <c:catAx>
        <c:axId val="42255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22549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32654670916868"/>
          <c:y val="0.93850192847217728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1'!$C$43:$C$44</c:f>
              <c:strCache>
                <c:ptCount val="2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1'!$C$45:$C$57</c:f>
              <c:numCache>
                <c:formatCode>0.0</c:formatCode>
                <c:ptCount val="13"/>
                <c:pt idx="0">
                  <c:v>43.775235531628539</c:v>
                </c:pt>
                <c:pt idx="1">
                  <c:v>38.090277777777786</c:v>
                </c:pt>
                <c:pt idx="2">
                  <c:v>34.117383512544805</c:v>
                </c:pt>
                <c:pt idx="3">
                  <c:v>37.754629629629633</c:v>
                </c:pt>
                <c:pt idx="4">
                  <c:v>29.950716845878134</c:v>
                </c:pt>
                <c:pt idx="5">
                  <c:v>33.590949820788524</c:v>
                </c:pt>
                <c:pt idx="6">
                  <c:v>42.210648148148145</c:v>
                </c:pt>
                <c:pt idx="7">
                  <c:v>41.55465949820789</c:v>
                </c:pt>
                <c:pt idx="8">
                  <c:v>31.087962962962962</c:v>
                </c:pt>
                <c:pt idx="9">
                  <c:v>36.178315412186372</c:v>
                </c:pt>
                <c:pt idx="10">
                  <c:v>43.929211469534053</c:v>
                </c:pt>
                <c:pt idx="11">
                  <c:v>33.382936507936506</c:v>
                </c:pt>
                <c:pt idx="12">
                  <c:v>43.965903992821893</c:v>
                </c:pt>
              </c:numCache>
            </c:numRef>
          </c:val>
        </c:ser>
        <c:ser>
          <c:idx val="1"/>
          <c:order val="1"/>
          <c:tx>
            <c:strRef>
              <c:f>'Data 1'!$D$43:$D$44</c:f>
              <c:strCache>
                <c:ptCount val="2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1'!$D$45:$D$57</c:f>
              <c:numCache>
                <c:formatCode>0.0</c:formatCode>
                <c:ptCount val="13"/>
                <c:pt idx="0">
                  <c:v>15.197397936294301</c:v>
                </c:pt>
                <c:pt idx="1">
                  <c:v>20.729166666666668</c:v>
                </c:pt>
                <c:pt idx="2">
                  <c:v>22.647849462365592</c:v>
                </c:pt>
                <c:pt idx="3">
                  <c:v>12.592592592592593</c:v>
                </c:pt>
                <c:pt idx="4">
                  <c:v>6.2275985663082425</c:v>
                </c:pt>
                <c:pt idx="5">
                  <c:v>5.5891577060931903</c:v>
                </c:pt>
                <c:pt idx="6">
                  <c:v>5.9027777777777777</c:v>
                </c:pt>
                <c:pt idx="7">
                  <c:v>7.5716845878136194</c:v>
                </c:pt>
                <c:pt idx="8">
                  <c:v>9.2592592592592613</c:v>
                </c:pt>
                <c:pt idx="9">
                  <c:v>9.408602150537634</c:v>
                </c:pt>
                <c:pt idx="10">
                  <c:v>7.3028673835125444</c:v>
                </c:pt>
                <c:pt idx="11">
                  <c:v>13.640873015873014</c:v>
                </c:pt>
                <c:pt idx="12">
                  <c:v>14.984297891431133</c:v>
                </c:pt>
              </c:numCache>
            </c:numRef>
          </c:val>
        </c:ser>
        <c:ser>
          <c:idx val="2"/>
          <c:order val="2"/>
          <c:tx>
            <c:strRef>
              <c:f>'Data 1'!$E$43:$E$44</c:f>
              <c:strCache>
                <c:ptCount val="2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1'!$E$45:$E$57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3"/>
          <c:tx>
            <c:strRef>
              <c:f>'Data 1'!$F$43:$F$44</c:f>
              <c:strCache>
                <c:ptCount val="2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1'!$F$45:$F$57</c:f>
              <c:numCache>
                <c:formatCode>0.0</c:formatCode>
                <c:ptCount val="13"/>
                <c:pt idx="0">
                  <c:v>0</c:v>
                </c:pt>
                <c:pt idx="1">
                  <c:v>0.27777777777777779</c:v>
                </c:pt>
                <c:pt idx="2">
                  <c:v>0.53763440860215062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0.29761904761904762</c:v>
                </c:pt>
                <c:pt idx="12">
                  <c:v>0.13458950201884254</c:v>
                </c:pt>
              </c:numCache>
            </c:numRef>
          </c:val>
        </c:ser>
        <c:ser>
          <c:idx val="3"/>
          <c:order val="4"/>
          <c:tx>
            <c:strRef>
              <c:f>'Data 1'!$G$43:$G$44</c:f>
              <c:strCache>
                <c:ptCount val="2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1'!$G$45:$G$57</c:f>
              <c:numCache>
                <c:formatCode>0.0</c:formatCode>
                <c:ptCount val="13"/>
                <c:pt idx="0">
                  <c:v>1.4692687303723644</c:v>
                </c:pt>
                <c:pt idx="1">
                  <c:v>2.0254629629629628</c:v>
                </c:pt>
                <c:pt idx="2">
                  <c:v>1.2320788530465949</c:v>
                </c:pt>
                <c:pt idx="3">
                  <c:v>6.7592592592592595</c:v>
                </c:pt>
                <c:pt idx="4">
                  <c:v>15.636200716845877</c:v>
                </c:pt>
                <c:pt idx="5">
                  <c:v>12.26478494623656</c:v>
                </c:pt>
                <c:pt idx="6">
                  <c:v>8.3912037037037042</c:v>
                </c:pt>
                <c:pt idx="7">
                  <c:v>8.4677419354838701</c:v>
                </c:pt>
                <c:pt idx="8">
                  <c:v>13.495370370370372</c:v>
                </c:pt>
                <c:pt idx="9">
                  <c:v>12.522401433691757</c:v>
                </c:pt>
                <c:pt idx="10">
                  <c:v>12.253584229390679</c:v>
                </c:pt>
                <c:pt idx="11">
                  <c:v>6.820436507936507</c:v>
                </c:pt>
                <c:pt idx="12">
                  <c:v>6.303275011215792</c:v>
                </c:pt>
              </c:numCache>
            </c:numRef>
          </c:val>
        </c:ser>
        <c:ser>
          <c:idx val="5"/>
          <c:order val="5"/>
          <c:tx>
            <c:strRef>
              <c:f>'Data 1'!$H$43:$H$44</c:f>
              <c:strCache>
                <c:ptCount val="2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1'!$H$45:$H$57</c:f>
              <c:numCache>
                <c:formatCode>0.0</c:formatCode>
                <c:ptCount val="13"/>
                <c:pt idx="0">
                  <c:v>12.090623598026019</c:v>
                </c:pt>
                <c:pt idx="1">
                  <c:v>7.7083333333333339</c:v>
                </c:pt>
                <c:pt idx="2">
                  <c:v>5.6451612903225801</c:v>
                </c:pt>
                <c:pt idx="3">
                  <c:v>17.314814814814817</c:v>
                </c:pt>
                <c:pt idx="4">
                  <c:v>26.478494623655912</c:v>
                </c:pt>
                <c:pt idx="5">
                  <c:v>24.596774193548391</c:v>
                </c:pt>
                <c:pt idx="6">
                  <c:v>23.541666666666671</c:v>
                </c:pt>
                <c:pt idx="7">
                  <c:v>22.468637992831539</c:v>
                </c:pt>
                <c:pt idx="8">
                  <c:v>27.361111111111114</c:v>
                </c:pt>
                <c:pt idx="9">
                  <c:v>24.193548387096776</c:v>
                </c:pt>
                <c:pt idx="10">
                  <c:v>16.50985663082437</c:v>
                </c:pt>
                <c:pt idx="11">
                  <c:v>23.883928571428573</c:v>
                </c:pt>
                <c:pt idx="12">
                  <c:v>12.943023777478688</c:v>
                </c:pt>
              </c:numCache>
            </c:numRef>
          </c:val>
        </c:ser>
        <c:ser>
          <c:idx val="6"/>
          <c:order val="6"/>
          <c:tx>
            <c:strRef>
              <c:f>'Data 1'!$I$43:$I$44</c:f>
              <c:strCache>
                <c:ptCount val="2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1'!$I$45:$I$57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'Data 1'!$J$43:$J$44</c:f>
              <c:strCache>
                <c:ptCount val="2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1'!$J$45:$J$57</c:f>
              <c:numCache>
                <c:formatCode>0.0</c:formatCode>
                <c:ptCount val="13"/>
                <c:pt idx="0">
                  <c:v>27.467474203678773</c:v>
                </c:pt>
                <c:pt idx="1">
                  <c:v>31.168981481481477</c:v>
                </c:pt>
                <c:pt idx="2">
                  <c:v>35.81989247311828</c:v>
                </c:pt>
                <c:pt idx="3">
                  <c:v>25.578703703703699</c:v>
                </c:pt>
                <c:pt idx="4">
                  <c:v>21.706989247311832</c:v>
                </c:pt>
                <c:pt idx="5">
                  <c:v>23.958333333333336</c:v>
                </c:pt>
                <c:pt idx="6">
                  <c:v>19.953703703703702</c:v>
                </c:pt>
                <c:pt idx="7">
                  <c:v>19.937275985663085</c:v>
                </c:pt>
                <c:pt idx="8">
                  <c:v>18.796296296296294</c:v>
                </c:pt>
                <c:pt idx="9">
                  <c:v>17.697132616487458</c:v>
                </c:pt>
                <c:pt idx="10">
                  <c:v>20.004480286738353</c:v>
                </c:pt>
                <c:pt idx="11">
                  <c:v>21.974206349206348</c:v>
                </c:pt>
                <c:pt idx="12">
                  <c:v>21.668909825033648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246752"/>
        <c:axId val="429247144"/>
      </c:barChart>
      <c:catAx>
        <c:axId val="42924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247144"/>
        <c:crosses val="autoZero"/>
        <c:auto val="1"/>
        <c:lblAlgn val="ctr"/>
        <c:lblOffset val="100"/>
        <c:noMultiLvlLbl val="0"/>
      </c:catAx>
      <c:valAx>
        <c:axId val="4292471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2467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1'!$E$60:$E$61</c:f>
              <c:strCache>
                <c:ptCount val="2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1'!$E$62:$E$74</c:f>
              <c:numCache>
                <c:formatCode>0.00</c:formatCode>
                <c:ptCount val="13"/>
                <c:pt idx="0">
                  <c:v>28.65</c:v>
                </c:pt>
                <c:pt idx="1">
                  <c:v>24.85</c:v>
                </c:pt>
                <c:pt idx="2">
                  <c:v>26.74</c:v>
                </c:pt>
                <c:pt idx="3">
                  <c:v>39.299999999999997</c:v>
                </c:pt>
                <c:pt idx="4">
                  <c:v>41.06</c:v>
                </c:pt>
                <c:pt idx="5">
                  <c:v>41.620000000000005</c:v>
                </c:pt>
                <c:pt idx="6">
                  <c:v>44.17</c:v>
                </c:pt>
                <c:pt idx="7">
                  <c:v>53.78</c:v>
                </c:pt>
                <c:pt idx="8">
                  <c:v>57.41</c:v>
                </c:pt>
                <c:pt idx="9">
                  <c:v>61.87</c:v>
                </c:pt>
                <c:pt idx="10">
                  <c:v>73.59</c:v>
                </c:pt>
                <c:pt idx="11">
                  <c:v>53.05</c:v>
                </c:pt>
                <c:pt idx="12" formatCode="0.000">
                  <c:v>43.94</c:v>
                </c:pt>
              </c:numCache>
            </c:numRef>
          </c:val>
        </c:ser>
        <c:ser>
          <c:idx val="1"/>
          <c:order val="1"/>
          <c:tx>
            <c:strRef>
              <c:f>'Data 1'!$F$60:$F$61</c:f>
              <c:strCache>
                <c:ptCount val="2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1'!$F$62:$F$74</c:f>
              <c:numCache>
                <c:formatCode>0.00</c:formatCode>
                <c:ptCount val="13"/>
                <c:pt idx="0">
                  <c:v>4.54</c:v>
                </c:pt>
                <c:pt idx="1">
                  <c:v>4.07</c:v>
                </c:pt>
                <c:pt idx="2">
                  <c:v>4.37</c:v>
                </c:pt>
                <c:pt idx="3">
                  <c:v>2.5100000000000002</c:v>
                </c:pt>
                <c:pt idx="4">
                  <c:v>2.0299999999999998</c:v>
                </c:pt>
                <c:pt idx="5">
                  <c:v>2.4100000000000006</c:v>
                </c:pt>
                <c:pt idx="6">
                  <c:v>2.4600000000000004</c:v>
                </c:pt>
                <c:pt idx="7">
                  <c:v>3</c:v>
                </c:pt>
                <c:pt idx="8">
                  <c:v>1.9300000000000002</c:v>
                </c:pt>
                <c:pt idx="9">
                  <c:v>2.04</c:v>
                </c:pt>
                <c:pt idx="10">
                  <c:v>2.9000000000000004</c:v>
                </c:pt>
                <c:pt idx="11">
                  <c:v>2.8400000000000003</c:v>
                </c:pt>
                <c:pt idx="12" formatCode="0.000">
                  <c:v>3.19</c:v>
                </c:pt>
              </c:numCache>
            </c:numRef>
          </c:val>
        </c:ser>
        <c:ser>
          <c:idx val="2"/>
          <c:order val="2"/>
          <c:tx>
            <c:strRef>
              <c:f>'Data 1'!$G$60:$G$61</c:f>
              <c:strCache>
                <c:ptCount val="2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1'!$G$62:$G$74</c:f>
              <c:numCache>
                <c:formatCode>0.00</c:formatCode>
                <c:ptCount val="13"/>
                <c:pt idx="0">
                  <c:v>2.63</c:v>
                </c:pt>
                <c:pt idx="1">
                  <c:v>2.48</c:v>
                </c:pt>
                <c:pt idx="2">
                  <c:v>2.4300000000000002</c:v>
                </c:pt>
                <c:pt idx="3">
                  <c:v>2.89</c:v>
                </c:pt>
                <c:pt idx="4">
                  <c:v>3.27</c:v>
                </c:pt>
                <c:pt idx="5">
                  <c:v>2.2000000000000002</c:v>
                </c:pt>
                <c:pt idx="6">
                  <c:v>2.52</c:v>
                </c:pt>
                <c:pt idx="7">
                  <c:v>2.37</c:v>
                </c:pt>
                <c:pt idx="8">
                  <c:v>2.5499999999999998</c:v>
                </c:pt>
                <c:pt idx="9">
                  <c:v>3.22</c:v>
                </c:pt>
                <c:pt idx="10">
                  <c:v>3.31</c:v>
                </c:pt>
                <c:pt idx="11">
                  <c:v>3.26</c:v>
                </c:pt>
                <c:pt idx="12" formatCode="0.000">
                  <c:v>2.63</c:v>
                </c:pt>
              </c:numCache>
            </c:numRef>
          </c:val>
        </c:ser>
        <c:ser>
          <c:idx val="4"/>
          <c:order val="3"/>
          <c:tx>
            <c:strRef>
              <c:f>'Data 1'!$H$60:$H$61</c:f>
              <c:strCache>
                <c:ptCount val="2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1'!$H$62:$H$74</c:f>
              <c:numCache>
                <c:formatCode>0.00</c:formatCode>
                <c:ptCount val="13"/>
                <c:pt idx="0">
                  <c:v>1.87</c:v>
                </c:pt>
                <c:pt idx="1">
                  <c:v>2.02</c:v>
                </c:pt>
                <c:pt idx="2">
                  <c:v>2.0299999999999998</c:v>
                </c:pt>
                <c:pt idx="3">
                  <c:v>2</c:v>
                </c:pt>
                <c:pt idx="4">
                  <c:v>1.82</c:v>
                </c:pt>
                <c:pt idx="5">
                  <c:v>1.89</c:v>
                </c:pt>
                <c:pt idx="6">
                  <c:v>1.94</c:v>
                </c:pt>
                <c:pt idx="7">
                  <c:v>2.04</c:v>
                </c:pt>
                <c:pt idx="8">
                  <c:v>1.95</c:v>
                </c:pt>
                <c:pt idx="9">
                  <c:v>1.93</c:v>
                </c:pt>
                <c:pt idx="10">
                  <c:v>1.9</c:v>
                </c:pt>
                <c:pt idx="11">
                  <c:v>2.19</c:v>
                </c:pt>
                <c:pt idx="12" formatCode="0.000">
                  <c:v>2.0699999999999998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247928"/>
        <c:axId val="429248320"/>
      </c:barChart>
      <c:catAx>
        <c:axId val="42924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248320"/>
        <c:crosses val="autoZero"/>
        <c:auto val="1"/>
        <c:lblAlgn val="ctr"/>
        <c:lblOffset val="100"/>
        <c:noMultiLvlLbl val="0"/>
      </c:catAx>
      <c:valAx>
        <c:axId val="4292483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2479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4066480953684471"/>
                  <c:y val="-0.388966749645061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151753270105044E-2"/>
                  <c:y val="-0.1533426609177648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977961432506887"/>
                  <c:y val="6.358110330736582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1'!$E$77:$H$77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'Data 1'!$E$78:$H$78</c:f>
              <c:numCache>
                <c:formatCode>0.00</c:formatCode>
                <c:ptCount val="4"/>
                <c:pt idx="0">
                  <c:v>43.94</c:v>
                </c:pt>
                <c:pt idx="1">
                  <c:v>2.63</c:v>
                </c:pt>
                <c:pt idx="2">
                  <c:v>2.0699999999999998</c:v>
                </c:pt>
                <c:pt idx="3">
                  <c:v>3.1900000000000004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24637510198865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1'!$B$82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1'!$C$82:$O$82</c:f>
              <c:numCache>
                <c:formatCode>#,##0.00</c:formatCode>
                <c:ptCount val="13"/>
                <c:pt idx="0">
                  <c:v>2.88</c:v>
                </c:pt>
                <c:pt idx="1">
                  <c:v>2.59</c:v>
                </c:pt>
                <c:pt idx="2">
                  <c:v>2.99</c:v>
                </c:pt>
                <c:pt idx="3">
                  <c:v>1.84</c:v>
                </c:pt>
                <c:pt idx="4">
                  <c:v>1.55</c:v>
                </c:pt>
                <c:pt idx="5">
                  <c:v>1.85</c:v>
                </c:pt>
                <c:pt idx="6">
                  <c:v>1.91</c:v>
                </c:pt>
                <c:pt idx="7">
                  <c:v>2.04</c:v>
                </c:pt>
                <c:pt idx="8">
                  <c:v>0.89</c:v>
                </c:pt>
                <c:pt idx="9">
                  <c:v>1.1299999999999999</c:v>
                </c:pt>
                <c:pt idx="10">
                  <c:v>1.48</c:v>
                </c:pt>
                <c:pt idx="11">
                  <c:v>1.82</c:v>
                </c:pt>
                <c:pt idx="12">
                  <c:v>2.2200000000000002</c:v>
                </c:pt>
              </c:numCache>
            </c:numRef>
          </c:val>
          <c:extLst/>
        </c:ser>
        <c:ser>
          <c:idx val="6"/>
          <c:order val="1"/>
          <c:tx>
            <c:strRef>
              <c:f>'Data 1'!$B$83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1'!$C$83:$O$83</c:f>
              <c:numCache>
                <c:formatCode>#,##0.00</c:formatCode>
                <c:ptCount val="13"/>
                <c:pt idx="0">
                  <c:v>0.16</c:v>
                </c:pt>
                <c:pt idx="1">
                  <c:v>0.18</c:v>
                </c:pt>
                <c:pt idx="2">
                  <c:v>0.13</c:v>
                </c:pt>
                <c:pt idx="3">
                  <c:v>0.1</c:v>
                </c:pt>
                <c:pt idx="4">
                  <c:v>0.03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0.21</c:v>
                </c:pt>
                <c:pt idx="8">
                  <c:v>0.16</c:v>
                </c:pt>
                <c:pt idx="9">
                  <c:v>0.13</c:v>
                </c:pt>
                <c:pt idx="10">
                  <c:v>0.17</c:v>
                </c:pt>
                <c:pt idx="11">
                  <c:v>0.23</c:v>
                </c:pt>
                <c:pt idx="12">
                  <c:v>0.14000000000000001</c:v>
                </c:pt>
              </c:numCache>
            </c:numRef>
          </c:val>
          <c:extLst/>
        </c:ser>
        <c:ser>
          <c:idx val="2"/>
          <c:order val="2"/>
          <c:tx>
            <c:strRef>
              <c:f>'Data 1'!$B$84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1'!$C$84:$O$84</c:f>
              <c:numCache>
                <c:formatCode>#,##0.00</c:formatCode>
                <c:ptCount val="13"/>
                <c:pt idx="0">
                  <c:v>0.37</c:v>
                </c:pt>
                <c:pt idx="1">
                  <c:v>0.28999999999999998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0.25</c:v>
                </c:pt>
                <c:pt idx="8">
                  <c:v>0.15</c:v>
                </c:pt>
                <c:pt idx="9">
                  <c:v>0.08</c:v>
                </c:pt>
                <c:pt idx="10">
                  <c:v>0.27</c:v>
                </c:pt>
                <c:pt idx="11">
                  <c:v>0.02</c:v>
                </c:pt>
                <c:pt idx="12">
                  <c:v>7.0000000000000007E-2</c:v>
                </c:pt>
              </c:numCache>
            </c:numRef>
          </c:val>
          <c:extLst/>
        </c:ser>
        <c:ser>
          <c:idx val="1"/>
          <c:order val="3"/>
          <c:tx>
            <c:strRef>
              <c:f>'Data 1'!$B$85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1'!$C$85:$O$85</c:f>
              <c:numCache>
                <c:formatCode>#,##0.00</c:formatCode>
                <c:ptCount val="13"/>
                <c:pt idx="0">
                  <c:v>1.01</c:v>
                </c:pt>
                <c:pt idx="1">
                  <c:v>0.9</c:v>
                </c:pt>
                <c:pt idx="2">
                  <c:v>0.93</c:v>
                </c:pt>
                <c:pt idx="3">
                  <c:v>0.52</c:v>
                </c:pt>
                <c:pt idx="4">
                  <c:v>0.47</c:v>
                </c:pt>
                <c:pt idx="5">
                  <c:v>0.48</c:v>
                </c:pt>
                <c:pt idx="6">
                  <c:v>0.39</c:v>
                </c:pt>
                <c:pt idx="7">
                  <c:v>0.51</c:v>
                </c:pt>
                <c:pt idx="8">
                  <c:v>0.68</c:v>
                </c:pt>
                <c:pt idx="9">
                  <c:v>0.63</c:v>
                </c:pt>
                <c:pt idx="10">
                  <c:v>0.87</c:v>
                </c:pt>
                <c:pt idx="11">
                  <c:v>0.65</c:v>
                </c:pt>
                <c:pt idx="12">
                  <c:v>0.52</c:v>
                </c:pt>
              </c:numCache>
            </c:numRef>
          </c:val>
          <c:extLst/>
        </c:ser>
        <c:ser>
          <c:idx val="3"/>
          <c:order val="4"/>
          <c:tx>
            <c:strRef>
              <c:f>'Data 1'!$B$86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1'!$C$86:$O$86</c:f>
              <c:numCache>
                <c:formatCode>#,##0.00</c:formatCode>
                <c:ptCount val="13"/>
                <c:pt idx="0">
                  <c:v>0.28000000000000003</c:v>
                </c:pt>
                <c:pt idx="1">
                  <c:v>0.25</c:v>
                </c:pt>
                <c:pt idx="2">
                  <c:v>0.15</c:v>
                </c:pt>
                <c:pt idx="3">
                  <c:v>0.17</c:v>
                </c:pt>
                <c:pt idx="4">
                  <c:v>0.11</c:v>
                </c:pt>
                <c:pt idx="5">
                  <c:v>0.15000000000000002</c:v>
                </c:pt>
                <c:pt idx="6">
                  <c:v>0.19</c:v>
                </c:pt>
                <c:pt idx="7">
                  <c:v>0.13</c:v>
                </c:pt>
                <c:pt idx="8">
                  <c:v>0.24000000000000002</c:v>
                </c:pt>
                <c:pt idx="9">
                  <c:v>0.19</c:v>
                </c:pt>
                <c:pt idx="10">
                  <c:v>0.27</c:v>
                </c:pt>
                <c:pt idx="11">
                  <c:v>0.31</c:v>
                </c:pt>
                <c:pt idx="12">
                  <c:v>0.3</c:v>
                </c:pt>
              </c:numCache>
            </c:numRef>
          </c:val>
          <c:extLst/>
        </c:ser>
        <c:ser>
          <c:idx val="5"/>
          <c:order val="5"/>
          <c:tx>
            <c:strRef>
              <c:f>'Data 1'!$B$87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1'!$C$87:$O$87</c:f>
              <c:numCache>
                <c:formatCode>#,##0.00</c:formatCode>
                <c:ptCount val="13"/>
                <c:pt idx="0">
                  <c:v>-0.09</c:v>
                </c:pt>
                <c:pt idx="1">
                  <c:v>-0.08</c:v>
                </c:pt>
                <c:pt idx="2">
                  <c:v>-0.06</c:v>
                </c:pt>
                <c:pt idx="3">
                  <c:v>-7.0000000000000007E-2</c:v>
                </c:pt>
                <c:pt idx="4">
                  <c:v>-0.08</c:v>
                </c:pt>
                <c:pt idx="5">
                  <c:v>-9.0000000000000011E-2</c:v>
                </c:pt>
                <c:pt idx="6">
                  <c:v>-0.09</c:v>
                </c:pt>
                <c:pt idx="7">
                  <c:v>-0.09</c:v>
                </c:pt>
                <c:pt idx="8">
                  <c:v>-0.13</c:v>
                </c:pt>
                <c:pt idx="9">
                  <c:v>-7.0000000000000007E-2</c:v>
                </c:pt>
                <c:pt idx="10">
                  <c:v>-0.09</c:v>
                </c:pt>
                <c:pt idx="11">
                  <c:v>-0.12</c:v>
                </c:pt>
                <c:pt idx="12">
                  <c:v>-0.06</c:v>
                </c:pt>
              </c:numCache>
            </c:numRef>
          </c:val>
          <c:extLst/>
        </c:ser>
        <c:ser>
          <c:idx val="7"/>
          <c:order val="6"/>
          <c:tx>
            <c:strRef>
              <c:f>'Data 1'!$B$88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'Data 1'!$R$80:$AD$80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1'!$C$88:$O$88</c:f>
              <c:numCache>
                <c:formatCode>0.00</c:formatCode>
                <c:ptCount val="13"/>
                <c:pt idx="0">
                  <c:v>-7.0000000000000007E-2</c:v>
                </c:pt>
                <c:pt idx="1">
                  <c:v>-0.06</c:v>
                </c:pt>
                <c:pt idx="2">
                  <c:v>-7.0000000000000007E-2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-0.06</c:v>
                </c:pt>
                <c:pt idx="9">
                  <c:v>-0.05</c:v>
                </c:pt>
                <c:pt idx="10">
                  <c:v>-7.0000000000000007E-2</c:v>
                </c:pt>
                <c:pt idx="11">
                  <c:v>-7.0000000000000007E-2</c:v>
                </c:pt>
                <c:pt idx="12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9249496"/>
        <c:axId val="429249888"/>
      </c:barChart>
      <c:catAx>
        <c:axId val="4292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2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249888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9249496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'Data 1'!$C$127:$C$128</c:f>
              <c:strCache>
                <c:ptCount val="2"/>
                <c:pt idx="0">
                  <c:v>2017</c:v>
                </c:pt>
                <c:pt idx="1">
                  <c:v>Marzo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1'!$C$129:$C$133</c:f>
              <c:numCache>
                <c:formatCode>#,##0.00</c:formatCode>
                <c:ptCount val="5"/>
                <c:pt idx="0">
                  <c:v>1362.4289000000001</c:v>
                </c:pt>
                <c:pt idx="1">
                  <c:v>207.955637</c:v>
                </c:pt>
                <c:pt idx="2">
                  <c:v>419.80669999999998</c:v>
                </c:pt>
                <c:pt idx="3">
                  <c:v>175.14840000000001</c:v>
                </c:pt>
                <c:pt idx="4">
                  <c:v>76.974800000000002</c:v>
                </c:pt>
              </c:numCache>
            </c:numRef>
          </c:val>
        </c:ser>
        <c:ser>
          <c:idx val="0"/>
          <c:order val="1"/>
          <c:tx>
            <c:strRef>
              <c:f>'Data 1'!$D$127:$D$128</c:f>
              <c:strCache>
                <c:ptCount val="2"/>
                <c:pt idx="0">
                  <c:v>2016</c:v>
                </c:pt>
                <c:pt idx="1">
                  <c:v>Marzo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1'!$B$129:$B$133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'Data 1'!$D$129:$D$133</c:f>
              <c:numCache>
                <c:formatCode>#,##0.00</c:formatCode>
                <c:ptCount val="5"/>
                <c:pt idx="0">
                  <c:v>1271.0188000000001</c:v>
                </c:pt>
                <c:pt idx="1">
                  <c:v>232.22000600000001</c:v>
                </c:pt>
                <c:pt idx="2">
                  <c:v>383.15370000000001</c:v>
                </c:pt>
                <c:pt idx="3">
                  <c:v>164.18209999999999</c:v>
                </c:pt>
                <c:pt idx="4">
                  <c:v>102.8627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177752"/>
        <c:axId val="424178144"/>
      </c:barChart>
      <c:catAx>
        <c:axId val="42417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4178144"/>
        <c:crosses val="autoZero"/>
        <c:auto val="1"/>
        <c:lblAlgn val="ctr"/>
        <c:lblOffset val="100"/>
        <c:noMultiLvlLbl val="0"/>
      </c:catAx>
      <c:valAx>
        <c:axId val="4241781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4177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1'!$D$139:$P$139</c:f>
              <c:numCache>
                <c:formatCode>#,##0.00</c:formatCode>
                <c:ptCount val="13"/>
                <c:pt idx="0">
                  <c:v>3584.5</c:v>
                </c:pt>
                <c:pt idx="1">
                  <c:v>1458</c:v>
                </c:pt>
                <c:pt idx="2">
                  <c:v>8664.2000000000007</c:v>
                </c:pt>
                <c:pt idx="3">
                  <c:v>0</c:v>
                </c:pt>
                <c:pt idx="4">
                  <c:v>544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240</c:v>
                </c:pt>
                <c:pt idx="9">
                  <c:v>1160</c:v>
                </c:pt>
                <c:pt idx="10">
                  <c:v>0</c:v>
                </c:pt>
                <c:pt idx="11">
                  <c:v>712.6</c:v>
                </c:pt>
                <c:pt idx="12">
                  <c:v>1411.7</c:v>
                </c:pt>
              </c:numCache>
            </c:numRef>
          </c:val>
        </c:ser>
        <c:ser>
          <c:idx val="4"/>
          <c:order val="1"/>
          <c:tx>
            <c:strRef>
              <c:f>'Data 1'!$C$140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1'!$D$140:$P$140</c:f>
              <c:numCache>
                <c:formatCode>#,##0.00</c:formatCode>
                <c:ptCount val="13"/>
                <c:pt idx="0">
                  <c:v>426186</c:v>
                </c:pt>
                <c:pt idx="1">
                  <c:v>456275.7</c:v>
                </c:pt>
                <c:pt idx="2">
                  <c:v>418905</c:v>
                </c:pt>
                <c:pt idx="3">
                  <c:v>206083.6</c:v>
                </c:pt>
                <c:pt idx="4">
                  <c:v>157445</c:v>
                </c:pt>
                <c:pt idx="5">
                  <c:v>238113.9</c:v>
                </c:pt>
                <c:pt idx="6">
                  <c:v>177358.6</c:v>
                </c:pt>
                <c:pt idx="7">
                  <c:v>91594.1</c:v>
                </c:pt>
                <c:pt idx="8">
                  <c:v>76065.2</c:v>
                </c:pt>
                <c:pt idx="9">
                  <c:v>91091.6</c:v>
                </c:pt>
                <c:pt idx="10">
                  <c:v>35729</c:v>
                </c:pt>
                <c:pt idx="11">
                  <c:v>198516.2</c:v>
                </c:pt>
                <c:pt idx="12">
                  <c:v>631868</c:v>
                </c:pt>
              </c:numCache>
            </c:numRef>
          </c:val>
        </c:ser>
        <c:ser>
          <c:idx val="1"/>
          <c:order val="2"/>
          <c:tx>
            <c:strRef>
              <c:f>'Data 1'!$C$141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1'!$D$141:$P$141</c:f>
              <c:numCache>
                <c:formatCode>#,##0.00</c:formatCode>
                <c:ptCount val="13"/>
                <c:pt idx="0">
                  <c:v>803574</c:v>
                </c:pt>
                <c:pt idx="1">
                  <c:v>709097</c:v>
                </c:pt>
                <c:pt idx="2">
                  <c:v>894330.4</c:v>
                </c:pt>
                <c:pt idx="3">
                  <c:v>917663.8</c:v>
                </c:pt>
                <c:pt idx="4">
                  <c:v>927968.4</c:v>
                </c:pt>
                <c:pt idx="5">
                  <c:v>928531.9</c:v>
                </c:pt>
                <c:pt idx="6">
                  <c:v>907062.2</c:v>
                </c:pt>
                <c:pt idx="7">
                  <c:v>657310.6</c:v>
                </c:pt>
                <c:pt idx="8">
                  <c:v>577468</c:v>
                </c:pt>
                <c:pt idx="9">
                  <c:v>640964.5</c:v>
                </c:pt>
                <c:pt idx="10">
                  <c:v>696156.2</c:v>
                </c:pt>
                <c:pt idx="11">
                  <c:v>665095.19999999995</c:v>
                </c:pt>
                <c:pt idx="12">
                  <c:v>670791.6</c:v>
                </c:pt>
              </c:numCache>
            </c:numRef>
          </c:val>
        </c:ser>
        <c:ser>
          <c:idx val="2"/>
          <c:order val="3"/>
          <c:tx>
            <c:strRef>
              <c:f>'Data 1'!$C$142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cat>
            <c:strRef>
              <c:f>'Data 1'!$D$138:$P$138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1'!$D$142:$P$142</c:f>
              <c:numCache>
                <c:formatCode>#,##0.00</c:formatCode>
                <c:ptCount val="13"/>
                <c:pt idx="0">
                  <c:v>18068.099999999999</c:v>
                </c:pt>
                <c:pt idx="1">
                  <c:v>1030.5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4"/>
          <c:tx>
            <c:strRef>
              <c:f>'Data 1'!$C$143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'Data 1'!$D$143:$P$143</c:f>
              <c:numCache>
                <c:formatCode>#,##0.00</c:formatCode>
                <c:ptCount val="13"/>
                <c:pt idx="0">
                  <c:v>0</c:v>
                </c:pt>
                <c:pt idx="1">
                  <c:v>200</c:v>
                </c:pt>
                <c:pt idx="2">
                  <c:v>0</c:v>
                </c:pt>
                <c:pt idx="3">
                  <c:v>1217</c:v>
                </c:pt>
                <c:pt idx="4">
                  <c:v>7584</c:v>
                </c:pt>
                <c:pt idx="5">
                  <c:v>7932.8</c:v>
                </c:pt>
                <c:pt idx="6">
                  <c:v>0</c:v>
                </c:pt>
                <c:pt idx="7">
                  <c:v>23959.3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139.6</c:v>
                </c:pt>
                <c:pt idx="12">
                  <c:v>13667.9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178928"/>
        <c:axId val="424179320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'Data 1'!$D$157:$P$157</c:f>
              <c:numCache>
                <c:formatCode>#,##0.00</c:formatCode>
                <c:ptCount val="13"/>
                <c:pt idx="0">
                  <c:v>73.176705916200007</c:v>
                </c:pt>
                <c:pt idx="1">
                  <c:v>65.421445049300004</c:v>
                </c:pt>
                <c:pt idx="2">
                  <c:v>67.422804182700006</c:v>
                </c:pt>
                <c:pt idx="3">
                  <c:v>69.294106506800006</c:v>
                </c:pt>
                <c:pt idx="4">
                  <c:v>71.028984581700001</c:v>
                </c:pt>
                <c:pt idx="5">
                  <c:v>74.006406740299994</c:v>
                </c:pt>
                <c:pt idx="6">
                  <c:v>79.845896002700002</c:v>
                </c:pt>
                <c:pt idx="7">
                  <c:v>102.1739283237</c:v>
                </c:pt>
                <c:pt idx="8">
                  <c:v>80.507212944800003</c:v>
                </c:pt>
                <c:pt idx="9">
                  <c:v>89.322719495699999</c:v>
                </c:pt>
                <c:pt idx="10">
                  <c:v>114.12251594919999</c:v>
                </c:pt>
                <c:pt idx="11">
                  <c:v>92.084451201899995</c:v>
                </c:pt>
                <c:pt idx="12">
                  <c:v>76.440865089200003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80104"/>
        <c:axId val="424179712"/>
      </c:lineChart>
      <c:catAx>
        <c:axId val="42417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79320"/>
        <c:crosses val="autoZero"/>
        <c:auto val="1"/>
        <c:lblAlgn val="ctr"/>
        <c:lblOffset val="100"/>
        <c:noMultiLvlLbl val="1"/>
      </c:catAx>
      <c:valAx>
        <c:axId val="4241793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78928"/>
        <c:crosses val="autoZero"/>
        <c:crossBetween val="between"/>
        <c:dispUnits>
          <c:builtInUnit val="thousands"/>
        </c:dispUnits>
      </c:valAx>
      <c:valAx>
        <c:axId val="424179712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180104"/>
        <c:crosses val="max"/>
        <c:crossBetween val="between"/>
      </c:valAx>
      <c:catAx>
        <c:axId val="424180104"/>
        <c:scaling>
          <c:orientation val="minMax"/>
        </c:scaling>
        <c:delete val="1"/>
        <c:axPos val="b"/>
        <c:majorTickMark val="out"/>
        <c:minorTickMark val="none"/>
        <c:tickLblPos val="nextTo"/>
        <c:crossAx val="424179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8"/>
          <c:order val="0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'Data 1'!$D$155:$P$155</c:f>
              <c:numCache>
                <c:formatCode>#,##0.00</c:formatCode>
                <c:ptCount val="13"/>
              </c:numCache>
            </c:numRef>
          </c:val>
        </c:ser>
        <c:ser>
          <c:idx val="0"/>
          <c:order val="1"/>
          <c:tx>
            <c:strRef>
              <c:f>'Data 1'!$C$146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 w="25400">
              <a:noFill/>
            </a:ln>
          </c:spPr>
          <c:invertIfNegative val="0"/>
          <c:val>
            <c:numRef>
              <c:f>'Data 1'!$D$146:$P$146</c:f>
              <c:numCache>
                <c:formatCode>#,##0.00</c:formatCode>
                <c:ptCount val="13"/>
                <c:pt idx="0">
                  <c:v>-829.1</c:v>
                </c:pt>
                <c:pt idx="1">
                  <c:v>-135</c:v>
                </c:pt>
                <c:pt idx="2">
                  <c:v>-18605.400000000001</c:v>
                </c:pt>
                <c:pt idx="3">
                  <c:v>-366.7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-856</c:v>
                </c:pt>
                <c:pt idx="8">
                  <c:v>0</c:v>
                </c:pt>
                <c:pt idx="9">
                  <c:v>0</c:v>
                </c:pt>
                <c:pt idx="10">
                  <c:v>-2763.2</c:v>
                </c:pt>
                <c:pt idx="11">
                  <c:v>-6933.6</c:v>
                </c:pt>
                <c:pt idx="12">
                  <c:v>-755.1</c:v>
                </c:pt>
              </c:numCache>
            </c:numRef>
          </c:val>
        </c:ser>
        <c:ser>
          <c:idx val="10"/>
          <c:order val="2"/>
          <c:tx>
            <c:v>Hidráulica</c:v>
          </c:tx>
          <c:spPr>
            <a:solidFill>
              <a:srgbClr val="0090D1"/>
            </a:solidFill>
          </c:spPr>
          <c:invertIfNegative val="0"/>
          <c:val>
            <c:numRef>
              <c:f>'Data 1'!$D$154:$P$154</c:f>
              <c:numCache>
                <c:formatCode>#,##0.00</c:formatCode>
                <c:ptCount val="13"/>
              </c:numCache>
            </c:numRef>
          </c:val>
        </c:ser>
        <c:ser>
          <c:idx val="1"/>
          <c:order val="3"/>
          <c:tx>
            <c:strRef>
              <c:f>'Data 1'!$C$147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  <a:prstDash val="solid"/>
            </a:ln>
          </c:spPr>
          <c:invertIfNegative val="0"/>
          <c:val>
            <c:numRef>
              <c:f>'Data 1'!$D$147:$P$147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-294</c:v>
                </c:pt>
                <c:pt idx="4">
                  <c:v>-11178.1</c:v>
                </c:pt>
                <c:pt idx="5">
                  <c:v>-4145.2</c:v>
                </c:pt>
                <c:pt idx="6">
                  <c:v>-2530</c:v>
                </c:pt>
                <c:pt idx="7">
                  <c:v>-15307.2</c:v>
                </c:pt>
                <c:pt idx="8">
                  <c:v>-2438</c:v>
                </c:pt>
                <c:pt idx="9">
                  <c:v>0</c:v>
                </c:pt>
                <c:pt idx="10">
                  <c:v>0</c:v>
                </c:pt>
                <c:pt idx="11">
                  <c:v>-58033.7</c:v>
                </c:pt>
                <c:pt idx="12">
                  <c:v>-20255.7</c:v>
                </c:pt>
              </c:numCache>
            </c:numRef>
          </c:val>
        </c:ser>
        <c:ser>
          <c:idx val="2"/>
          <c:order val="4"/>
          <c:tx>
            <c:strRef>
              <c:f>'Data 1'!$C$148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</c:spPr>
          <c:invertIfNegative val="0"/>
          <c:val>
            <c:numRef>
              <c:f>'Data 1'!$D$148:$P$148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-4100.8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-30295.599999999999</c:v>
                </c:pt>
                <c:pt idx="8">
                  <c:v>-3386</c:v>
                </c:pt>
                <c:pt idx="9">
                  <c:v>0</c:v>
                </c:pt>
                <c:pt idx="10">
                  <c:v>-400</c:v>
                </c:pt>
                <c:pt idx="11">
                  <c:v>0</c:v>
                </c:pt>
                <c:pt idx="12">
                  <c:v>-17094</c:v>
                </c:pt>
              </c:numCache>
            </c:numRef>
          </c:val>
        </c:ser>
        <c:ser>
          <c:idx val="3"/>
          <c:order val="5"/>
          <c:tx>
            <c:strRef>
              <c:f>'Data 1'!$C$149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'Data 1'!$D$149:$P$149</c:f>
              <c:numCache>
                <c:formatCode>#,##0.00</c:formatCode>
                <c:ptCount val="13"/>
                <c:pt idx="0">
                  <c:v>-14998.4</c:v>
                </c:pt>
                <c:pt idx="1">
                  <c:v>-5477.7</c:v>
                </c:pt>
                <c:pt idx="2">
                  <c:v>-822</c:v>
                </c:pt>
                <c:pt idx="3">
                  <c:v>-2338.3000000000002</c:v>
                </c:pt>
                <c:pt idx="4">
                  <c:v>-16656.7</c:v>
                </c:pt>
                <c:pt idx="5">
                  <c:v>-11379.4</c:v>
                </c:pt>
                <c:pt idx="6">
                  <c:v>-2970.9</c:v>
                </c:pt>
                <c:pt idx="7">
                  <c:v>-607.6</c:v>
                </c:pt>
                <c:pt idx="8">
                  <c:v>-274</c:v>
                </c:pt>
                <c:pt idx="9">
                  <c:v>0</c:v>
                </c:pt>
                <c:pt idx="10">
                  <c:v>0</c:v>
                </c:pt>
                <c:pt idx="11">
                  <c:v>-988.1</c:v>
                </c:pt>
                <c:pt idx="12">
                  <c:v>-5344.3</c:v>
                </c:pt>
              </c:numCache>
            </c:numRef>
          </c:val>
        </c:ser>
        <c:ser>
          <c:idx val="4"/>
          <c:order val="6"/>
          <c:tx>
            <c:strRef>
              <c:f>'Data 1'!$C$150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'Data 1'!$D$150:$P$150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-95.9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-57.8</c:v>
                </c:pt>
                <c:pt idx="12">
                  <c:v>0</c:v>
                </c:pt>
              </c:numCache>
            </c:numRef>
          </c:val>
        </c:ser>
        <c:ser>
          <c:idx val="5"/>
          <c:order val="7"/>
          <c:tx>
            <c:strRef>
              <c:f>'Data 1'!$C$151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'Data 1'!$D$151:$P$151</c:f>
              <c:numCache>
                <c:formatCode>#,##0.00</c:formatCode>
                <c:ptCount val="13"/>
                <c:pt idx="0">
                  <c:v>-168</c:v>
                </c:pt>
                <c:pt idx="1">
                  <c:v>0</c:v>
                </c:pt>
                <c:pt idx="2">
                  <c:v>-899</c:v>
                </c:pt>
                <c:pt idx="3">
                  <c:v>-4944.8999999999996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-117.8</c:v>
                </c:pt>
                <c:pt idx="9">
                  <c:v>-2368.1</c:v>
                </c:pt>
                <c:pt idx="10">
                  <c:v>0</c:v>
                </c:pt>
                <c:pt idx="11">
                  <c:v>0</c:v>
                </c:pt>
                <c:pt idx="12">
                  <c:v>-617.6</c:v>
                </c:pt>
              </c:numCache>
            </c:numRef>
          </c:val>
        </c:ser>
        <c:ser>
          <c:idx val="6"/>
          <c:order val="8"/>
          <c:tx>
            <c:strRef>
              <c:f>'Data 1'!$C$152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'Data 1'!$D$152:$P$152</c:f>
              <c:numCache>
                <c:formatCode>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-91.5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4181280"/>
        <c:axId val="424180888"/>
      </c:barChart>
      <c:lineChart>
        <c:grouping val="standard"/>
        <c:varyColors val="0"/>
        <c:ser>
          <c:idx val="7"/>
          <c:order val="9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'Data 1'!$D$154:$P$154</c:f>
              <c:numCache>
                <c:formatCode>#,##0.00</c:formatCode>
                <c:ptCount val="13"/>
              </c:numCache>
            </c:numRef>
          </c:val>
          <c:smooth val="0"/>
        </c:ser>
        <c:ser>
          <c:idx val="9"/>
          <c:order val="10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'Data 1'!$D$158:$P$158</c:f>
              <c:numCache>
                <c:formatCode>#,##0.00</c:formatCode>
                <c:ptCount val="13"/>
                <c:pt idx="0">
                  <c:v>28.641727106699999</c:v>
                </c:pt>
                <c:pt idx="1">
                  <c:v>24.032852965499998</c:v>
                </c:pt>
                <c:pt idx="2">
                  <c:v>35.6660431038</c:v>
                </c:pt>
                <c:pt idx="3">
                  <c:v>40.179360635499997</c:v>
                </c:pt>
                <c:pt idx="4">
                  <c:v>42.7033473822</c:v>
                </c:pt>
                <c:pt idx="5">
                  <c:v>41.243095938499998</c:v>
                </c:pt>
                <c:pt idx="6">
                  <c:v>45.042061407200002</c:v>
                </c:pt>
                <c:pt idx="7">
                  <c:v>59.241832602499997</c:v>
                </c:pt>
                <c:pt idx="8">
                  <c:v>66.158074584100007</c:v>
                </c:pt>
                <c:pt idx="9">
                  <c:v>63.3943088949</c:v>
                </c:pt>
                <c:pt idx="10">
                  <c:v>87.216925897799996</c:v>
                </c:pt>
                <c:pt idx="11">
                  <c:v>59.043409800500001</c:v>
                </c:pt>
                <c:pt idx="12">
                  <c:v>45.244610503099999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41800"/>
        <c:axId val="294241408"/>
      </c:lineChart>
      <c:valAx>
        <c:axId val="424180888"/>
        <c:scaling>
          <c:orientation val="maxMin"/>
          <c:max val="7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424181280"/>
        <c:crosses val="autoZero"/>
        <c:crossBetween val="between"/>
        <c:dispUnits>
          <c:builtInUnit val="thousands"/>
        </c:dispUnits>
      </c:valAx>
      <c:catAx>
        <c:axId val="424181280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424180888"/>
        <c:crossesAt val="0"/>
        <c:auto val="1"/>
        <c:lblAlgn val="ctr"/>
        <c:lblOffset val="100"/>
        <c:noMultiLvlLbl val="0"/>
      </c:catAx>
      <c:valAx>
        <c:axId val="294241408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n-US"/>
          </a:p>
        </c:txPr>
        <c:crossAx val="294241800"/>
        <c:crosses val="max"/>
        <c:crossBetween val="between"/>
        <c:majorUnit val="20"/>
      </c:valAx>
      <c:catAx>
        <c:axId val="29424180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94241408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16802145004724E-2"/>
          <c:y val="0.78434509708607614"/>
          <c:w val="0.91562066762226713"/>
          <c:h val="0.1855892319128553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2562000807E-2"/>
          <c:y val="0.10809463336219689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2'!$B$6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'Data 1'!$A$45:$A$57</c:f>
              <c:strCache>
                <c:ptCount val="13"/>
                <c:pt idx="0">
                  <c:v>M</c:v>
                </c:pt>
                <c:pt idx="1">
                  <c:v>A</c:v>
                </c:pt>
                <c:pt idx="2">
                  <c:v>M</c:v>
                </c:pt>
                <c:pt idx="3">
                  <c:v>J</c:v>
                </c:pt>
                <c:pt idx="4">
                  <c:v>J</c:v>
                </c:pt>
                <c:pt idx="5">
                  <c:v>A</c:v>
                </c:pt>
                <c:pt idx="6">
                  <c:v>S</c:v>
                </c:pt>
                <c:pt idx="7">
                  <c:v>O</c:v>
                </c:pt>
                <c:pt idx="8">
                  <c:v>N</c:v>
                </c:pt>
                <c:pt idx="9">
                  <c:v>D</c:v>
                </c:pt>
                <c:pt idx="10">
                  <c:v>E</c:v>
                </c:pt>
                <c:pt idx="11">
                  <c:v>F</c:v>
                </c:pt>
                <c:pt idx="12">
                  <c:v>M</c:v>
                </c:pt>
              </c:strCache>
            </c:strRef>
          </c:cat>
          <c:val>
            <c:numRef>
              <c:f>'Data 2'!$C$6:$O$6</c:f>
              <c:numCache>
                <c:formatCode>#,##0</c:formatCode>
                <c:ptCount val="13"/>
                <c:pt idx="0">
                  <c:v>685.40646029610002</c:v>
                </c:pt>
                <c:pt idx="1">
                  <c:v>677.2152777778</c:v>
                </c:pt>
                <c:pt idx="2">
                  <c:v>666.32795698919995</c:v>
                </c:pt>
                <c:pt idx="3">
                  <c:v>664.29166666670005</c:v>
                </c:pt>
                <c:pt idx="4">
                  <c:v>686.78763440859996</c:v>
                </c:pt>
                <c:pt idx="5">
                  <c:v>694.56048387099997</c:v>
                </c:pt>
                <c:pt idx="6">
                  <c:v>691.88888888890006</c:v>
                </c:pt>
                <c:pt idx="7">
                  <c:v>669.59060402679995</c:v>
                </c:pt>
                <c:pt idx="8">
                  <c:v>686.04444444440003</c:v>
                </c:pt>
                <c:pt idx="9">
                  <c:v>698.83602150540003</c:v>
                </c:pt>
                <c:pt idx="10">
                  <c:v>712.52016129030005</c:v>
                </c:pt>
                <c:pt idx="11">
                  <c:v>690.06696428570001</c:v>
                </c:pt>
                <c:pt idx="12">
                  <c:v>679.79004037690004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242584"/>
        <c:axId val="294242976"/>
      </c:barChart>
      <c:lineChart>
        <c:grouping val="standard"/>
        <c:varyColors val="0"/>
        <c:ser>
          <c:idx val="2"/>
          <c:order val="1"/>
          <c:tx>
            <c:strRef>
              <c:f>'Data 2'!$B$8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'M9'!$O$4:$AA$4</c:f>
              <c:strCache>
                <c:ptCount val="13"/>
                <c:pt idx="0">
                  <c:v>J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2'!$C$8:$O$8</c:f>
              <c:numCache>
                <c:formatCode>0</c:formatCode>
                <c:ptCount val="13"/>
                <c:pt idx="0">
                  <c:v>22.0125371233</c:v>
                </c:pt>
                <c:pt idx="1">
                  <c:v>18.950403146599999</c:v>
                </c:pt>
                <c:pt idx="2">
                  <c:v>18.616068699100001</c:v>
                </c:pt>
                <c:pt idx="3">
                  <c:v>11.4989193337</c:v>
                </c:pt>
                <c:pt idx="4">
                  <c:v>11.051812032999999</c:v>
                </c:pt>
                <c:pt idx="5">
                  <c:v>10.705185459200001</c:v>
                </c:pt>
                <c:pt idx="6">
                  <c:v>8.6965031858999993</c:v>
                </c:pt>
                <c:pt idx="7">
                  <c:v>10.667894227</c:v>
                </c:pt>
                <c:pt idx="8">
                  <c:v>15.1275113394</c:v>
                </c:pt>
                <c:pt idx="9">
                  <c:v>13.988426286899999</c:v>
                </c:pt>
                <c:pt idx="10">
                  <c:v>19.8404244623</c:v>
                </c:pt>
                <c:pt idx="11">
                  <c:v>15.125065320299999</c:v>
                </c:pt>
                <c:pt idx="12">
                  <c:v>11.5469110496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43760"/>
        <c:axId val="294243368"/>
      </c:lineChart>
      <c:catAx>
        <c:axId val="294242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242976"/>
        <c:crosses val="autoZero"/>
        <c:auto val="1"/>
        <c:lblAlgn val="ctr"/>
        <c:lblOffset val="100"/>
        <c:noMultiLvlLbl val="1"/>
      </c:catAx>
      <c:valAx>
        <c:axId val="294242976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242584"/>
        <c:crosses val="autoZero"/>
        <c:crossBetween val="between"/>
        <c:majorUnit val="200"/>
      </c:valAx>
      <c:valAx>
        <c:axId val="294243368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243760"/>
        <c:crosses val="max"/>
        <c:crossBetween val="between"/>
        <c:majorUnit val="10"/>
      </c:valAx>
      <c:catAx>
        <c:axId val="29424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4243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0.38648</cdr:x>
      <cdr:y>0.91191</cdr:y>
    </cdr:from>
    <cdr:to>
      <cdr:x>0.47691</cdr:x>
      <cdr:y>0.97285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726849" y="2782980"/>
          <a:ext cx="638042" cy="185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0.82404</cdr:x>
      <cdr:y>0.91923</cdr:y>
    </cdr:from>
    <cdr:to>
      <cdr:x>0.90385</cdr:x>
      <cdr:y>0.98439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14121" y="2805329"/>
          <a:ext cx="563111" cy="1988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30478</xdr:rowOff>
    </xdr:from>
    <xdr:to>
      <xdr:col>6</xdr:col>
      <xdr:colOff>762000</xdr:colOff>
      <xdr:row>3</xdr:row>
      <xdr:rowOff>38099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 flipV="1">
          <a:off x="205740" y="487678"/>
          <a:ext cx="6938010" cy="7621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0.7471</cdr:x>
      <cdr:y>0.12092</cdr:y>
    </cdr:from>
    <cdr:to>
      <cdr:x>0.74957</cdr:x>
      <cdr:y>0.81553</cdr:y>
    </cdr:to>
    <cdr:cxnSp macro="">
      <cdr:nvCxnSpPr>
        <cdr:cNvPr id="3" name="Conector recto 2"/>
        <cdr:cNvCxnSpPr/>
      </cdr:nvCxnSpPr>
      <cdr:spPr bwMode="auto">
        <a:xfrm xmlns:a="http://schemas.openxmlformats.org/drawingml/2006/main" flipH="1" flipV="1">
          <a:off x="5718288" y="299709"/>
          <a:ext cx="18905" cy="17216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0.83053</cdr:x>
      <cdr:y>0.89144</cdr:y>
    </cdr:from>
    <cdr:to>
      <cdr:x>0.90416</cdr:x>
      <cdr:y>0.96489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6356922" y="2209508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0.38298</cdr:x>
      <cdr:y>0.89725</cdr:y>
    </cdr:from>
    <cdr:to>
      <cdr:x>0.4566</cdr:x>
      <cdr:y>0.9707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2931300" y="2223908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0.74928</cdr:x>
      <cdr:y>0.06638</cdr:y>
    </cdr:from>
    <cdr:to>
      <cdr:x>0.75175</cdr:x>
      <cdr:y>0.761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734675" y="164275"/>
          <a:ext cx="18904" cy="171905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0.74771</cdr:x>
      <cdr:y>0.13348</cdr:y>
    </cdr:from>
    <cdr:to>
      <cdr:x>0.74861</cdr:x>
      <cdr:y>0.82119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34078" y="309229"/>
          <a:ext cx="6782" cy="15931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0.8339</cdr:x>
      <cdr:y>0.8711</cdr:y>
    </cdr:from>
    <cdr:to>
      <cdr:x>0.9087</cdr:x>
      <cdr:y>0.94969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283539" y="2018030"/>
          <a:ext cx="563625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0.4399</cdr:x>
      <cdr:y>0.87731</cdr:y>
    </cdr:from>
    <cdr:to>
      <cdr:x>0.5147</cdr:x>
      <cdr:y>0.9559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14148" y="2078193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0.74947</cdr:x>
      <cdr:y>0.03318</cdr:y>
    </cdr:from>
    <cdr:to>
      <cdr:x>0.75121</cdr:x>
      <cdr:y>0.8673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48053" y="56626"/>
          <a:ext cx="13113" cy="14235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24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0.81973</cdr:x>
      <cdr:y>0.1205</cdr:y>
    </cdr:from>
    <cdr:to>
      <cdr:x>0.81992</cdr:x>
      <cdr:y>0.81992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V="1">
          <a:off x="6176746" y="282155"/>
          <a:ext cx="1432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0.89424</cdr:x>
      <cdr:y>0.88627</cdr:y>
    </cdr:from>
    <cdr:to>
      <cdr:x>0.96905</cdr:x>
      <cdr:y>0.96405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37112" y="212145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0.4421</cdr:x>
      <cdr:y>0.89242</cdr:y>
    </cdr:from>
    <cdr:to>
      <cdr:x>0.51689</cdr:x>
      <cdr:y>0.9702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30713" y="213617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0.8201</cdr:x>
      <cdr:y>0.0319</cdr:y>
    </cdr:from>
    <cdr:to>
      <cdr:x>0.8212</cdr:x>
      <cdr:y>0.85901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6180322" y="55476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99391</xdr:rowOff>
    </xdr:from>
    <xdr:to>
      <xdr:col>11</xdr:col>
      <xdr:colOff>554935</xdr:colOff>
      <xdr:row>21</xdr:row>
      <xdr:rowOff>24847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0.75133</cdr:x>
      <cdr:y>0.09501</cdr:y>
    </cdr:from>
    <cdr:to>
      <cdr:x>0.75191</cdr:x>
      <cdr:y>0.81054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61423" y="245383"/>
          <a:ext cx="4371" cy="18480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0.75191</cdr:x>
      <cdr:y>0.17984</cdr:y>
    </cdr:from>
    <cdr:to>
      <cdr:x>0.75259</cdr:x>
      <cdr:y>0.86301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65824" y="481644"/>
          <a:ext cx="5124" cy="18296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0.89523</cdr:x>
      <cdr:y>0.92397</cdr:y>
    </cdr:from>
    <cdr:to>
      <cdr:x>0.97003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45395" y="244151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0.44314</cdr:x>
      <cdr:y>0.92955</cdr:y>
    </cdr:from>
    <cdr:to>
      <cdr:x>0.51793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38996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0.74929</cdr:x>
      <cdr:y>0.08735</cdr:y>
    </cdr:from>
    <cdr:to>
      <cdr:x>0.75103</cdr:x>
      <cdr:y>0.77209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46082" y="243272"/>
          <a:ext cx="13111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0.74812</cdr:x>
      <cdr:y>0.09653</cdr:y>
    </cdr:from>
    <cdr:to>
      <cdr:x>0.74849</cdr:x>
      <cdr:y>0.85046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37254" y="249307"/>
          <a:ext cx="2769" cy="194724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0.89633</cdr:x>
      <cdr:y>0.92397</cdr:y>
    </cdr:from>
    <cdr:to>
      <cdr:x>0.97113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753677" y="244151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0.44424</cdr:x>
      <cdr:y>0.92955</cdr:y>
    </cdr:from>
    <cdr:to>
      <cdr:x>0.51903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347278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0.49984</cdr:x>
      <cdr:y>0.29498</cdr:y>
    </cdr:from>
    <cdr:to>
      <cdr:x>0.62934</cdr:x>
      <cdr:y>0.35598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5147" y="708037"/>
          <a:ext cx="747494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0.45508</cdr:x>
      <cdr:y>0.76042</cdr:y>
    </cdr:from>
    <cdr:to>
      <cdr:x>0.58458</cdr:x>
      <cdr:y>0.82142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6815" y="1825244"/>
          <a:ext cx="747493" cy="146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0.74769</cdr:x>
      <cdr:y>0.08955</cdr:y>
    </cdr:from>
    <cdr:to>
      <cdr:x>0.74933</cdr:x>
      <cdr:y>0.74952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562811" y="266954"/>
          <a:ext cx="12201" cy="196731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0.74779</cdr:x>
      <cdr:y>0.09524</cdr:y>
    </cdr:from>
    <cdr:to>
      <cdr:x>0.74961</cdr:x>
      <cdr:y>0.86844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563539" y="245994"/>
          <a:ext cx="13559" cy="199699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0.89405</cdr:x>
      <cdr:y>0.92397</cdr:y>
    </cdr:from>
    <cdr:to>
      <cdr:x>0.96977</cdr:x>
      <cdr:y>0.99443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654286" y="2441512"/>
          <a:ext cx="563577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0.43638</cdr:x>
      <cdr:y>0.92955</cdr:y>
    </cdr:from>
    <cdr:to>
      <cdr:x>0.51209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3247887" y="2456231"/>
          <a:ext cx="563502" cy="1861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0.74768</cdr:x>
      <cdr:y>0.10545</cdr:y>
    </cdr:from>
    <cdr:to>
      <cdr:x>0.74894</cdr:x>
      <cdr:y>0.83233</cdr:y>
    </cdr:to>
    <cdr:cxnSp macro="">
      <cdr:nvCxnSpPr>
        <cdr:cNvPr id="2" name="Conector recto 1"/>
        <cdr:cNvCxnSpPr/>
      </cdr:nvCxnSpPr>
      <cdr:spPr bwMode="auto">
        <a:xfrm xmlns:a="http://schemas.openxmlformats.org/drawingml/2006/main" flipH="1" flipV="1">
          <a:off x="5632587" y="397981"/>
          <a:ext cx="9512" cy="274321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0.82482</cdr:x>
      <cdr:y>0.87723</cdr:y>
    </cdr:from>
    <cdr:to>
      <cdr:x>0.89966</cdr:x>
      <cdr:y>0.92546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213747" y="3310628"/>
          <a:ext cx="563803" cy="18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0.36992</cdr:x>
      <cdr:y>0.87094</cdr:y>
    </cdr:from>
    <cdr:to>
      <cdr:x>0.44475</cdr:x>
      <cdr:y>0.91918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786792" y="3286907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0.75601</cdr:x>
      <cdr:y>0.19875</cdr:y>
    </cdr:from>
    <cdr:to>
      <cdr:x>0.75736</cdr:x>
      <cdr:y>0.87267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5335909" y="609573"/>
          <a:ext cx="9529" cy="206694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0.04094</cdr:x>
      <cdr:y>0.10973</cdr:y>
    </cdr:from>
    <cdr:to>
      <cdr:x>0.07749</cdr:x>
      <cdr:y>0.18066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288943" y="336549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0.39991</cdr:x>
      <cdr:y>0.92961</cdr:y>
    </cdr:from>
    <cdr:to>
      <cdr:x>0.47972</cdr:x>
      <cdr:y>0.99169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822601" y="285115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0.82906</cdr:x>
      <cdr:y>0.92339</cdr:y>
    </cdr:from>
    <cdr:to>
      <cdr:x>0.90887</cdr:x>
      <cdr:y>0.98547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851528" y="2832094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/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0.83509</cdr:x>
      <cdr:y>0.91408</cdr:y>
    </cdr:from>
    <cdr:to>
      <cdr:x>0.9149</cdr:x>
      <cdr:y>0.97758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894099" y="274084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0.75736</cdr:x>
      <cdr:y>0.16836</cdr:y>
    </cdr:from>
    <cdr:to>
      <cdr:x>0.75754</cdr:x>
      <cdr:y>0.85387</cdr:y>
    </cdr:to>
    <cdr:cxnSp macro="">
      <cdr:nvCxnSpPr>
        <cdr:cNvPr id="6" name="Conector recto 5"/>
        <cdr:cNvCxnSpPr/>
      </cdr:nvCxnSpPr>
      <cdr:spPr bwMode="auto">
        <a:xfrm xmlns:a="http://schemas.openxmlformats.org/drawingml/2006/main" flipH="1" flipV="1">
          <a:off x="5345431" y="504832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0.39991</cdr:x>
      <cdr:y>0.91275</cdr:y>
    </cdr:from>
    <cdr:to>
      <cdr:x>0.47972</cdr:x>
      <cdr:y>0.97625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822544" y="2736853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/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5</xdr:row>
      <xdr:rowOff>120015</xdr:rowOff>
    </xdr:from>
    <xdr:to>
      <xdr:col>5</xdr:col>
      <xdr:colOff>7620</xdr:colOff>
      <xdr:row>24</xdr:row>
      <xdr:rowOff>95250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5286375</xdr:colOff>
      <xdr:row>10</xdr:row>
      <xdr:rowOff>38100</xdr:rowOff>
    </xdr:from>
    <xdr:to>
      <xdr:col>4</xdr:col>
      <xdr:colOff>5286375</xdr:colOff>
      <xdr:row>22</xdr:row>
      <xdr:rowOff>47626</xdr:rowOff>
    </xdr:to>
    <xdr:cxnSp macro="">
      <xdr:nvCxnSpPr>
        <xdr:cNvPr id="3" name="Conector recto 2"/>
        <xdr:cNvCxnSpPr/>
      </xdr:nvCxnSpPr>
      <xdr:spPr bwMode="auto">
        <a:xfrm flipV="1">
          <a:off x="7143750" y="1704975"/>
          <a:ext cx="0" cy="195262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5X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56"/>
  <sheetViews>
    <sheetView showGridLines="0" showRowColHeaders="0" tabSelected="1" workbookViewId="0">
      <selection activeCell="H15" sqref="H15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50"/>
      <c r="D2" s="150"/>
      <c r="E2" s="151" t="s">
        <v>37</v>
      </c>
    </row>
    <row r="3" spans="2:8" ht="15" customHeight="1">
      <c r="C3" s="150"/>
      <c r="D3" s="150"/>
      <c r="E3" s="180" t="s">
        <v>194</v>
      </c>
    </row>
    <row r="4" spans="2:8" s="2" customFormat="1" ht="20.25" customHeight="1">
      <c r="B4" s="3"/>
      <c r="C4" s="152" t="s">
        <v>36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53"/>
      <c r="D7" s="11"/>
      <c r="E7" s="11"/>
    </row>
    <row r="8" spans="2:8" s="2" customFormat="1" ht="12.6" customHeight="1">
      <c r="B8" s="3"/>
      <c r="C8" s="154"/>
      <c r="D8" s="155" t="s">
        <v>146</v>
      </c>
      <c r="E8" s="156" t="s">
        <v>49</v>
      </c>
      <c r="F8" s="157"/>
      <c r="G8" s="93"/>
    </row>
    <row r="9" spans="2:8" s="2" customFormat="1" ht="12.6" customHeight="1">
      <c r="B9" s="3"/>
      <c r="C9" s="154"/>
      <c r="D9" s="155" t="s">
        <v>146</v>
      </c>
      <c r="E9" s="156" t="s">
        <v>147</v>
      </c>
      <c r="F9" s="157"/>
      <c r="G9" s="93"/>
    </row>
    <row r="10" spans="2:8" s="2" customFormat="1" ht="12.6" customHeight="1">
      <c r="B10" s="3"/>
      <c r="C10" s="154"/>
      <c r="D10" s="155" t="s">
        <v>146</v>
      </c>
      <c r="E10" s="156" t="s">
        <v>148</v>
      </c>
      <c r="F10" s="157"/>
      <c r="H10" s="158"/>
    </row>
    <row r="11" spans="2:8" s="2" customFormat="1" ht="12.6" customHeight="1">
      <c r="B11" s="3"/>
      <c r="C11" s="154"/>
      <c r="D11" s="155" t="s">
        <v>146</v>
      </c>
      <c r="E11" s="156" t="s">
        <v>149</v>
      </c>
      <c r="F11" s="157"/>
      <c r="H11" s="158"/>
    </row>
    <row r="12" spans="2:8" s="2" customFormat="1" ht="12.6" customHeight="1">
      <c r="B12" s="3"/>
      <c r="C12" s="154"/>
      <c r="D12" s="155" t="s">
        <v>146</v>
      </c>
      <c r="E12" s="156" t="s">
        <v>33</v>
      </c>
      <c r="F12" s="157"/>
    </row>
    <row r="13" spans="2:8" s="2" customFormat="1" ht="12.6" customHeight="1">
      <c r="B13" s="3"/>
      <c r="C13" s="154"/>
      <c r="D13" s="155" t="s">
        <v>146</v>
      </c>
      <c r="E13" s="156" t="s">
        <v>150</v>
      </c>
      <c r="F13" s="157"/>
    </row>
    <row r="14" spans="2:8" s="2" customFormat="1" ht="12.6" customHeight="1">
      <c r="B14" s="3"/>
      <c r="C14" s="154"/>
      <c r="D14" s="155" t="s">
        <v>146</v>
      </c>
      <c r="E14" s="156" t="s">
        <v>62</v>
      </c>
      <c r="F14" s="157"/>
    </row>
    <row r="15" spans="2:8" s="2" customFormat="1" ht="12.6" customHeight="1">
      <c r="B15" s="3"/>
      <c r="C15" s="154"/>
      <c r="D15" s="155" t="s">
        <v>146</v>
      </c>
      <c r="E15" s="156" t="s">
        <v>44</v>
      </c>
      <c r="F15" s="157"/>
    </row>
    <row r="16" spans="2:8" s="2" customFormat="1" ht="12.6" customHeight="1">
      <c r="B16" s="3"/>
      <c r="C16" s="154"/>
      <c r="D16" s="155" t="s">
        <v>146</v>
      </c>
      <c r="E16" s="156" t="s">
        <v>14</v>
      </c>
      <c r="F16" s="157"/>
    </row>
    <row r="17" spans="2:6" s="2" customFormat="1" ht="12.6" customHeight="1">
      <c r="B17" s="3"/>
      <c r="C17" s="154"/>
      <c r="D17" s="155" t="s">
        <v>146</v>
      </c>
      <c r="E17" s="156" t="s">
        <v>88</v>
      </c>
      <c r="F17" s="157"/>
    </row>
    <row r="18" spans="2:6" s="2" customFormat="1" ht="12.6" customHeight="1">
      <c r="B18" s="3"/>
      <c r="C18" s="154"/>
      <c r="D18" s="155" t="s">
        <v>146</v>
      </c>
      <c r="E18" s="156" t="s">
        <v>3</v>
      </c>
      <c r="F18" s="157"/>
    </row>
    <row r="19" spans="2:6" s="2" customFormat="1" ht="12.6" customHeight="1">
      <c r="B19" s="3"/>
      <c r="C19" s="154"/>
      <c r="D19" s="155" t="s">
        <v>146</v>
      </c>
      <c r="E19" s="156" t="s">
        <v>89</v>
      </c>
      <c r="F19" s="157"/>
    </row>
    <row r="20" spans="2:6" s="2" customFormat="1" ht="12.6" customHeight="1">
      <c r="B20" s="3"/>
      <c r="C20" s="154"/>
      <c r="D20" s="155" t="s">
        <v>146</v>
      </c>
      <c r="E20" s="156" t="s">
        <v>28</v>
      </c>
      <c r="F20" s="157"/>
    </row>
    <row r="21" spans="2:6" s="2" customFormat="1" ht="12.6" customHeight="1">
      <c r="B21" s="3"/>
      <c r="C21" s="154"/>
      <c r="D21" s="159" t="s">
        <v>146</v>
      </c>
      <c r="E21" s="156" t="s">
        <v>27</v>
      </c>
      <c r="F21" s="157"/>
    </row>
    <row r="22" spans="2:6" s="2" customFormat="1" ht="8.25" customHeight="1">
      <c r="B22" s="3"/>
      <c r="C22" s="154"/>
      <c r="D22" s="159"/>
      <c r="E22" s="160"/>
      <c r="F22" s="157"/>
    </row>
    <row r="23" spans="2:6" ht="11.25" customHeight="1"/>
    <row r="24" spans="2:6">
      <c r="C24" s="161" t="s">
        <v>151</v>
      </c>
      <c r="E24" s="2"/>
    </row>
    <row r="27" spans="2:6">
      <c r="E27" s="162"/>
    </row>
    <row r="28" spans="2:6">
      <c r="E28" s="162"/>
    </row>
    <row r="29" spans="2:6">
      <c r="E29" s="162"/>
    </row>
    <row r="30" spans="2:6">
      <c r="E30" s="7"/>
    </row>
    <row r="31" spans="2:6">
      <c r="E31" s="163"/>
    </row>
    <row r="56" spans="2:2">
      <c r="B56" s="9"/>
    </row>
  </sheetData>
  <hyperlinks>
    <hyperlink ref="E8" location="'M1'!A1" display="Valores extremos y medio del precio del mercado diario"/>
    <hyperlink ref="E9" location="'M2'!A1" display="Mercado diario: participación de cada tecnología en el precio marginal."/>
    <hyperlink ref="E10" location="'M3'!A1" display="Evolución del componente del  precio medio final de la energía."/>
    <hyperlink ref="E11" location="'M4'!A1" display="Componentes del precio medio final de la energía."/>
    <hyperlink ref="E12" location="'M5'!A1" display="Repercusión de los servicios de ajuste del sistema en el precio final medio"/>
    <hyperlink ref="E13" location="'M6'!A1" display="Coste de los servicios de ajuste"/>
    <hyperlink ref="E14" location="'M7'!A1" display="Energía gestionada en los servicios de ajustes"/>
    <hyperlink ref="E15" location="'M8'!A1" display="Solución de restricciones técnicas (Fase I)"/>
    <hyperlink ref="E16" location="'M9'!A1" display="Banda de regulación secundaria"/>
    <hyperlink ref="E17" location="'M10'!A1" display="Regulación secundaria utilizada"/>
    <hyperlink ref="E18" location="'M11'!A1" display="Regulación terciaria"/>
    <hyperlink ref="E19" location="'M12'!A1" display="Gestión de desvíos"/>
    <hyperlink ref="E20" location="'M13'!A1" display="Restricciones técnicas en tiempo real"/>
    <hyperlink ref="E21" location="'M14'!A1" display="Reserva de potencia adicional a subi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AK70"/>
  <sheetViews>
    <sheetView showGridLines="0" showRowColHeaders="0" zoomScaleNormal="100" workbookViewId="0">
      <selection activeCell="O21" sqref="O21"/>
    </sheetView>
  </sheetViews>
  <sheetFormatPr baseColWidth="10" defaultRowHeight="12.75"/>
  <cols>
    <col min="1" max="1" width="2.7109375" style="31" customWidth="1"/>
    <col min="2" max="2" width="21.7109375" style="31" customWidth="1"/>
    <col min="3" max="3" width="11.42578125" style="31" customWidth="1"/>
    <col min="4" max="8" width="11.42578125" style="31"/>
    <col min="9" max="9" width="11.5703125" style="31" bestFit="1" customWidth="1"/>
    <col min="10" max="13" width="11.42578125" style="31"/>
    <col min="14" max="14" width="15.85546875" style="31" customWidth="1"/>
    <col min="15" max="16384" width="11.42578125" style="31"/>
  </cols>
  <sheetData>
    <row r="1" spans="1:37">
      <c r="L1" s="20" t="s">
        <v>37</v>
      </c>
    </row>
    <row r="2" spans="1:37">
      <c r="L2" s="21" t="s">
        <v>194</v>
      </c>
    </row>
    <row r="4" spans="1:37">
      <c r="A4" s="34"/>
      <c r="B4" s="22" t="s">
        <v>36</v>
      </c>
      <c r="C4" s="34"/>
      <c r="O4" s="78" t="s">
        <v>9</v>
      </c>
      <c r="P4" s="78" t="s">
        <v>13</v>
      </c>
      <c r="Q4" s="78" t="s">
        <v>5</v>
      </c>
      <c r="R4" s="78" t="s">
        <v>6</v>
      </c>
      <c r="S4" s="78" t="s">
        <v>7</v>
      </c>
      <c r="T4" s="78" t="s">
        <v>8</v>
      </c>
      <c r="U4" s="78" t="s">
        <v>7</v>
      </c>
      <c r="V4" s="78" t="s">
        <v>9</v>
      </c>
      <c r="W4" s="78" t="s">
        <v>9</v>
      </c>
      <c r="X4" s="78" t="s">
        <v>8</v>
      </c>
      <c r="Y4" s="78" t="s">
        <v>10</v>
      </c>
      <c r="Z4" s="78" t="s">
        <v>11</v>
      </c>
      <c r="AA4" s="78" t="s">
        <v>12</v>
      </c>
    </row>
    <row r="5" spans="1:37" s="35" customFormat="1"/>
    <row r="6" spans="1:37" s="35" customFormat="1"/>
    <row r="7" spans="1:37" ht="12.75" customHeight="1">
      <c r="B7" s="187" t="s">
        <v>14</v>
      </c>
      <c r="F7" s="36"/>
      <c r="G7" s="36"/>
      <c r="H7" s="37"/>
      <c r="I7" s="37"/>
      <c r="J7" s="37"/>
      <c r="K7" s="37"/>
      <c r="L7" s="37"/>
      <c r="M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>
      <c r="B8" s="187"/>
      <c r="F8" s="36"/>
      <c r="G8" s="36"/>
      <c r="H8" s="37"/>
      <c r="I8" s="37"/>
      <c r="J8" s="37"/>
      <c r="K8" s="37"/>
      <c r="L8" s="37"/>
      <c r="M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>
      <c r="B9" s="53" t="s">
        <v>68</v>
      </c>
      <c r="F9" s="36"/>
      <c r="G9" s="36"/>
    </row>
    <row r="10" spans="1:37">
      <c r="B10" s="187"/>
      <c r="F10" s="36"/>
      <c r="G10" s="36"/>
    </row>
    <row r="11" spans="1:37" s="35" customFormat="1">
      <c r="B11" s="187"/>
      <c r="F11" s="36"/>
      <c r="G11" s="36"/>
    </row>
    <row r="12" spans="1:37">
      <c r="B12" s="187"/>
      <c r="F12" s="36"/>
      <c r="G12" s="36"/>
      <c r="H12" s="37"/>
      <c r="I12" s="37"/>
      <c r="J12" s="37"/>
      <c r="K12" s="37"/>
      <c r="L12" s="37"/>
      <c r="M12" s="37"/>
      <c r="AB12" s="37"/>
      <c r="AC12" s="37"/>
      <c r="AD12" s="37"/>
      <c r="AE12" s="37"/>
      <c r="AF12" s="37"/>
      <c r="AG12" s="37"/>
      <c r="AH12" s="37"/>
      <c r="AI12" s="37"/>
    </row>
    <row r="13" spans="1:37">
      <c r="F13" s="36"/>
      <c r="G13" s="36"/>
    </row>
    <row r="14" spans="1:37">
      <c r="F14" s="36"/>
      <c r="G14" s="36"/>
    </row>
    <row r="15" spans="1:37">
      <c r="F15" s="36"/>
      <c r="G15" s="36"/>
    </row>
    <row r="16" spans="1:37">
      <c r="F16" s="36"/>
      <c r="G16" s="36"/>
    </row>
    <row r="17" spans="6:7">
      <c r="F17" s="36"/>
      <c r="G17" s="36"/>
    </row>
    <row r="18" spans="6:7">
      <c r="F18" s="36"/>
      <c r="G18" s="36"/>
    </row>
    <row r="19" spans="6:7">
      <c r="F19" s="36"/>
      <c r="G19" s="36"/>
    </row>
    <row r="20" spans="6:7">
      <c r="F20" s="36"/>
      <c r="G20" s="36"/>
    </row>
    <row r="21" spans="6:7">
      <c r="F21" s="36"/>
      <c r="G21" s="36"/>
    </row>
    <row r="22" spans="6:7">
      <c r="F22" s="36"/>
      <c r="G22" s="36"/>
    </row>
    <row r="23" spans="6:7">
      <c r="F23" s="36"/>
      <c r="G23" s="36"/>
    </row>
    <row r="24" spans="6:7">
      <c r="F24" s="36"/>
      <c r="G24" s="36"/>
    </row>
    <row r="25" spans="6:7">
      <c r="F25" s="36"/>
      <c r="G25" s="36"/>
    </row>
    <row r="26" spans="6:7">
      <c r="F26" s="36"/>
      <c r="G26" s="36"/>
    </row>
    <row r="27" spans="6:7">
      <c r="F27" s="36"/>
      <c r="G27" s="36"/>
    </row>
    <row r="28" spans="6:7">
      <c r="F28" s="36"/>
      <c r="G28" s="36"/>
    </row>
    <row r="29" spans="6:7">
      <c r="F29" s="36"/>
      <c r="G29" s="36"/>
    </row>
    <row r="30" spans="6:7">
      <c r="F30" s="36"/>
      <c r="G30" s="36"/>
    </row>
    <row r="31" spans="6:7">
      <c r="F31" s="36"/>
      <c r="G31" s="36"/>
    </row>
    <row r="32" spans="6:7">
      <c r="F32" s="36"/>
      <c r="G32" s="36"/>
    </row>
    <row r="33" spans="1:7">
      <c r="F33" s="36"/>
      <c r="G33" s="36"/>
    </row>
    <row r="34" spans="1:7" ht="12.75" customHeight="1"/>
    <row r="38" spans="1:7" s="23" customFormat="1">
      <c r="A38" s="31"/>
      <c r="B38" s="31"/>
    </row>
    <row r="39" spans="1:7" s="23" customFormat="1">
      <c r="A39" s="31"/>
      <c r="B39" s="31"/>
    </row>
    <row r="40" spans="1:7" s="23" customFormat="1">
      <c r="A40" s="31"/>
      <c r="B40" s="31"/>
    </row>
    <row r="55" spans="10:15">
      <c r="J55" s="32"/>
      <c r="K55" s="39"/>
      <c r="L55" s="40"/>
      <c r="M55" s="40"/>
      <c r="N55" s="39"/>
    </row>
    <row r="56" spans="10:15">
      <c r="K56" s="32"/>
      <c r="L56" s="39"/>
      <c r="M56" s="40"/>
      <c r="N56" s="39"/>
      <c r="O56" s="39"/>
    </row>
    <row r="57" spans="10:15">
      <c r="K57" s="32"/>
      <c r="L57" s="39"/>
      <c r="M57" s="40"/>
      <c r="N57" s="39"/>
      <c r="O57" s="39"/>
    </row>
    <row r="58" spans="10:15">
      <c r="K58" s="32"/>
      <c r="L58" s="39"/>
      <c r="M58" s="40"/>
      <c r="N58" s="39"/>
      <c r="O58" s="39"/>
    </row>
    <row r="59" spans="10:15">
      <c r="K59" s="32"/>
      <c r="L59" s="39"/>
      <c r="M59" s="40"/>
      <c r="N59" s="39"/>
      <c r="O59" s="39"/>
    </row>
    <row r="60" spans="10:15">
      <c r="K60" s="32"/>
      <c r="L60" s="39"/>
      <c r="M60" s="40"/>
      <c r="N60" s="39"/>
      <c r="O60" s="39"/>
    </row>
    <row r="61" spans="10:15">
      <c r="K61" s="32"/>
      <c r="L61" s="39"/>
      <c r="M61" s="40"/>
      <c r="N61" s="39"/>
      <c r="O61" s="39"/>
    </row>
    <row r="62" spans="10:15">
      <c r="K62" s="32"/>
      <c r="L62" s="39"/>
      <c r="M62" s="40"/>
      <c r="N62" s="39"/>
      <c r="O62" s="39"/>
    </row>
    <row r="63" spans="10:15">
      <c r="K63" s="32"/>
      <c r="L63" s="39"/>
      <c r="M63" s="40"/>
      <c r="N63" s="39"/>
      <c r="O63" s="39"/>
    </row>
    <row r="64" spans="10:15">
      <c r="K64" s="32"/>
      <c r="L64" s="39"/>
      <c r="M64" s="40"/>
      <c r="N64" s="39"/>
      <c r="O64" s="39"/>
    </row>
    <row r="65" spans="1:15" s="23" customFormat="1"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39"/>
      <c r="M65" s="40"/>
      <c r="N65" s="39"/>
      <c r="O65" s="39"/>
    </row>
    <row r="66" spans="1:15" s="23" customForma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9"/>
      <c r="M66" s="41"/>
      <c r="N66" s="39"/>
      <c r="O66" s="39"/>
    </row>
    <row r="67" spans="1:15">
      <c r="A67" s="23"/>
      <c r="K67" s="33"/>
      <c r="M67" s="40"/>
      <c r="N67" s="39"/>
      <c r="O67" s="39"/>
    </row>
    <row r="68" spans="1:15">
      <c r="A68" s="23"/>
      <c r="B68" s="23"/>
      <c r="C68" s="23"/>
      <c r="D68" s="41"/>
      <c r="E68" s="41"/>
      <c r="F68" s="41"/>
      <c r="G68" s="41"/>
      <c r="H68" s="41"/>
      <c r="J68" s="38"/>
    </row>
    <row r="69" spans="1:15">
      <c r="J69" s="38"/>
    </row>
    <row r="70" spans="1:15">
      <c r="F70" s="36"/>
      <c r="G70" s="36"/>
      <c r="J70" s="38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AK70"/>
  <sheetViews>
    <sheetView showGridLines="0" showRowColHeaders="0" zoomScaleNormal="100" workbookViewId="0">
      <selection activeCell="P37" sqref="P37"/>
    </sheetView>
  </sheetViews>
  <sheetFormatPr baseColWidth="10" defaultRowHeight="12.75"/>
  <cols>
    <col min="1" max="1" width="2.7109375" style="31" customWidth="1"/>
    <col min="2" max="2" width="21.7109375" style="31" customWidth="1"/>
    <col min="3" max="3" width="11.42578125" style="31" customWidth="1"/>
    <col min="4" max="8" width="11.42578125" style="31"/>
    <col min="9" max="9" width="11.5703125" style="31" bestFit="1" customWidth="1"/>
    <col min="10" max="13" width="11.42578125" style="31"/>
    <col min="14" max="14" width="15.85546875" style="31" customWidth="1"/>
    <col min="15" max="25" width="8.42578125" style="31" customWidth="1"/>
    <col min="26" max="26" width="8.85546875" style="31" customWidth="1"/>
    <col min="27" max="27" width="11.42578125" style="31" customWidth="1"/>
    <col min="28" max="16384" width="11.42578125" style="31"/>
  </cols>
  <sheetData>
    <row r="1" spans="1:37">
      <c r="L1" s="88" t="s">
        <v>37</v>
      </c>
    </row>
    <row r="2" spans="1:37">
      <c r="L2" s="89" t="s">
        <v>194</v>
      </c>
    </row>
    <row r="4" spans="1:37">
      <c r="A4" s="34"/>
      <c r="B4" s="22" t="s">
        <v>36</v>
      </c>
      <c r="C4" s="34"/>
      <c r="O4" s="78" t="s">
        <v>13</v>
      </c>
      <c r="P4" s="78" t="s">
        <v>5</v>
      </c>
      <c r="Q4" s="78" t="s">
        <v>6</v>
      </c>
      <c r="R4" s="78" t="s">
        <v>7</v>
      </c>
      <c r="S4" s="78" t="s">
        <v>8</v>
      </c>
      <c r="T4" s="78" t="s">
        <v>7</v>
      </c>
      <c r="U4" s="78" t="s">
        <v>9</v>
      </c>
      <c r="V4" s="78" t="s">
        <v>9</v>
      </c>
      <c r="W4" s="78" t="s">
        <v>8</v>
      </c>
      <c r="X4" s="78" t="s">
        <v>10</v>
      </c>
      <c r="Y4" s="78" t="s">
        <v>11</v>
      </c>
      <c r="Z4" s="78" t="s">
        <v>12</v>
      </c>
      <c r="AA4" s="78" t="s">
        <v>13</v>
      </c>
    </row>
    <row r="5" spans="1:37" s="35" customFormat="1"/>
    <row r="6" spans="1:37" s="35" customFormat="1"/>
    <row r="7" spans="1:37" ht="12.75" customHeight="1">
      <c r="B7" s="187" t="s">
        <v>88</v>
      </c>
      <c r="F7" s="36"/>
      <c r="G7" s="36"/>
      <c r="H7" s="37"/>
      <c r="I7" s="37"/>
      <c r="J7" s="37"/>
      <c r="K7" s="37"/>
      <c r="L7" s="37"/>
      <c r="M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>
      <c r="B8" s="187"/>
      <c r="F8" s="36"/>
      <c r="G8" s="36"/>
      <c r="H8" s="37"/>
      <c r="I8" s="37"/>
      <c r="J8" s="37"/>
      <c r="K8" s="37"/>
      <c r="L8" s="37"/>
      <c r="M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>
      <c r="B9" s="53" t="s">
        <v>87</v>
      </c>
      <c r="F9" s="36"/>
      <c r="G9" s="36"/>
    </row>
    <row r="10" spans="1:37">
      <c r="B10" s="187"/>
      <c r="F10" s="36"/>
      <c r="G10" s="36"/>
    </row>
    <row r="11" spans="1:37" s="35" customFormat="1">
      <c r="B11" s="187"/>
      <c r="F11" s="36"/>
      <c r="G11" s="36"/>
    </row>
    <row r="12" spans="1:37">
      <c r="B12" s="187"/>
      <c r="F12" s="36"/>
      <c r="G12" s="36"/>
      <c r="H12" s="37"/>
      <c r="I12" s="37"/>
      <c r="J12" s="37"/>
      <c r="K12" s="37"/>
      <c r="L12" s="37"/>
      <c r="M12" s="37"/>
      <c r="AB12" s="37"/>
      <c r="AC12" s="37"/>
      <c r="AD12" s="37"/>
      <c r="AE12" s="37"/>
      <c r="AF12" s="37"/>
      <c r="AG12" s="37"/>
      <c r="AH12" s="37"/>
      <c r="AI12" s="37"/>
    </row>
    <row r="13" spans="1:37">
      <c r="F13" s="36"/>
      <c r="G13" s="36"/>
    </row>
    <row r="14" spans="1:37">
      <c r="F14" s="36"/>
      <c r="G14" s="36"/>
    </row>
    <row r="15" spans="1:37">
      <c r="F15" s="36"/>
      <c r="G15" s="36"/>
    </row>
    <row r="16" spans="1:37">
      <c r="F16" s="36"/>
      <c r="G16" s="36"/>
    </row>
    <row r="17" spans="6:16">
      <c r="F17" s="36"/>
      <c r="G17" s="36"/>
    </row>
    <row r="18" spans="6:16">
      <c r="F18" s="36"/>
      <c r="G18" s="36"/>
    </row>
    <row r="19" spans="6:16">
      <c r="F19" s="36"/>
      <c r="G19" s="36"/>
    </row>
    <row r="20" spans="6:16" ht="15">
      <c r="F20" s="36"/>
      <c r="G20" s="36"/>
      <c r="N20" s="83"/>
    </row>
    <row r="21" spans="6:16">
      <c r="F21" s="36"/>
      <c r="G21" s="36"/>
      <c r="N21" s="82"/>
    </row>
    <row r="22" spans="6:16">
      <c r="F22" s="36"/>
      <c r="G22" s="36"/>
    </row>
    <row r="23" spans="6:16">
      <c r="F23" s="36"/>
      <c r="G23" s="36"/>
    </row>
    <row r="24" spans="6:16">
      <c r="F24" s="36"/>
      <c r="G24" s="36"/>
    </row>
    <row r="25" spans="6:16">
      <c r="F25" s="36"/>
      <c r="G25" s="36"/>
    </row>
    <row r="26" spans="6:16">
      <c r="F26" s="36"/>
      <c r="G26" s="36"/>
      <c r="P26" s="31" t="s">
        <v>145</v>
      </c>
    </row>
    <row r="27" spans="6:16">
      <c r="F27" s="36"/>
      <c r="G27" s="36"/>
    </row>
    <row r="28" spans="6:16">
      <c r="F28" s="36"/>
      <c r="G28" s="36"/>
    </row>
    <row r="29" spans="6:16">
      <c r="F29" s="36"/>
      <c r="G29" s="36"/>
    </row>
    <row r="30" spans="6:16">
      <c r="F30" s="36"/>
      <c r="G30" s="36"/>
    </row>
    <row r="31" spans="6:16">
      <c r="F31" s="36"/>
      <c r="G31" s="36"/>
    </row>
    <row r="32" spans="6:16">
      <c r="F32" s="36"/>
      <c r="G32" s="36"/>
    </row>
    <row r="33" spans="1:7">
      <c r="F33" s="36"/>
      <c r="G33" s="36"/>
    </row>
    <row r="34" spans="1:7" ht="12.75" customHeight="1"/>
    <row r="38" spans="1:7" s="23" customFormat="1">
      <c r="A38" s="31"/>
      <c r="B38" s="31"/>
    </row>
    <row r="39" spans="1:7" s="23" customFormat="1">
      <c r="A39" s="31"/>
      <c r="B39" s="31"/>
    </row>
    <row r="40" spans="1:7" s="23" customFormat="1">
      <c r="A40" s="31"/>
      <c r="B40" s="31"/>
    </row>
    <row r="55" spans="10:15">
      <c r="J55" s="32"/>
      <c r="K55" s="39"/>
      <c r="L55" s="40"/>
      <c r="M55" s="40"/>
      <c r="N55" s="39"/>
    </row>
    <row r="56" spans="10:15">
      <c r="K56" s="32"/>
      <c r="L56" s="39"/>
      <c r="M56" s="40"/>
      <c r="N56" s="39"/>
      <c r="O56" s="39"/>
    </row>
    <row r="57" spans="10:15">
      <c r="K57" s="32"/>
      <c r="L57" s="39"/>
      <c r="M57" s="40"/>
      <c r="N57" s="39"/>
      <c r="O57" s="39"/>
    </row>
    <row r="58" spans="10:15">
      <c r="K58" s="32"/>
      <c r="L58" s="39"/>
      <c r="M58" s="40"/>
      <c r="N58" s="39"/>
      <c r="O58" s="39"/>
    </row>
    <row r="59" spans="10:15">
      <c r="K59" s="32"/>
      <c r="L59" s="39"/>
      <c r="M59" s="40"/>
      <c r="N59" s="39"/>
      <c r="O59" s="39"/>
    </row>
    <row r="60" spans="10:15">
      <c r="K60" s="32"/>
      <c r="L60" s="39"/>
      <c r="M60" s="40"/>
      <c r="N60" s="39"/>
      <c r="O60" s="39"/>
    </row>
    <row r="61" spans="10:15">
      <c r="K61" s="32"/>
      <c r="L61" s="39"/>
      <c r="M61" s="40"/>
      <c r="N61" s="39"/>
      <c r="O61" s="39"/>
    </row>
    <row r="62" spans="10:15">
      <c r="K62" s="32"/>
      <c r="L62" s="39"/>
      <c r="M62" s="40"/>
      <c r="N62" s="39"/>
      <c r="O62" s="39"/>
    </row>
    <row r="63" spans="10:15">
      <c r="K63" s="32"/>
      <c r="L63" s="39"/>
      <c r="M63" s="40"/>
      <c r="N63" s="39"/>
      <c r="O63" s="39"/>
    </row>
    <row r="64" spans="10:15">
      <c r="K64" s="32"/>
      <c r="L64" s="39"/>
      <c r="M64" s="40"/>
      <c r="N64" s="39"/>
      <c r="O64" s="39"/>
    </row>
    <row r="65" spans="1:15" s="23" customFormat="1"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39"/>
      <c r="M65" s="40"/>
      <c r="N65" s="39"/>
      <c r="O65" s="39"/>
    </row>
    <row r="66" spans="1:15" s="23" customForma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9"/>
      <c r="M66" s="41"/>
      <c r="N66" s="39"/>
      <c r="O66" s="39"/>
    </row>
    <row r="67" spans="1:15">
      <c r="A67" s="23"/>
      <c r="K67" s="33"/>
      <c r="M67" s="40"/>
      <c r="N67" s="39"/>
      <c r="O67" s="39"/>
    </row>
    <row r="68" spans="1:15">
      <c r="A68" s="23"/>
      <c r="B68" s="23"/>
      <c r="C68" s="23"/>
      <c r="D68" s="41"/>
      <c r="E68" s="41"/>
      <c r="F68" s="41"/>
      <c r="G68" s="41"/>
      <c r="H68" s="41"/>
      <c r="J68" s="38"/>
    </row>
    <row r="69" spans="1:15">
      <c r="J69" s="38"/>
    </row>
    <row r="70" spans="1:15">
      <c r="F70" s="36"/>
      <c r="G70" s="36"/>
      <c r="J70" s="38"/>
    </row>
  </sheetData>
  <mergeCells count="2">
    <mergeCell ref="B7:B8"/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AL70"/>
  <sheetViews>
    <sheetView showGridLines="0" showRowColHeaders="0" zoomScaleNormal="100" workbookViewId="0">
      <selection activeCell="Q25" sqref="Q25"/>
    </sheetView>
  </sheetViews>
  <sheetFormatPr baseColWidth="10" defaultRowHeight="12.75"/>
  <cols>
    <col min="1" max="1" width="2.7109375" style="31" customWidth="1"/>
    <col min="2" max="2" width="23.7109375" style="31" customWidth="1"/>
    <col min="3" max="3" width="11.42578125" style="31" customWidth="1"/>
    <col min="4" max="8" width="11.42578125" style="31"/>
    <col min="9" max="9" width="11.5703125" style="31" bestFit="1" customWidth="1"/>
    <col min="10" max="16384" width="11.42578125" style="31"/>
  </cols>
  <sheetData>
    <row r="1" spans="1:38">
      <c r="L1" s="88" t="s">
        <v>37</v>
      </c>
    </row>
    <row r="2" spans="1:38">
      <c r="L2" s="89" t="s">
        <v>194</v>
      </c>
    </row>
    <row r="4" spans="1:38">
      <c r="A4" s="34"/>
      <c r="B4" s="22" t="s">
        <v>36</v>
      </c>
      <c r="C4" s="34"/>
      <c r="P4" s="78" t="s">
        <v>9</v>
      </c>
      <c r="Q4" s="78" t="s">
        <v>8</v>
      </c>
      <c r="R4" s="78" t="s">
        <v>10</v>
      </c>
      <c r="S4" s="78" t="s">
        <v>11</v>
      </c>
      <c r="T4" s="78" t="s">
        <v>12</v>
      </c>
      <c r="U4" s="78" t="s">
        <v>13</v>
      </c>
      <c r="V4" s="78" t="s">
        <v>5</v>
      </c>
      <c r="W4" s="78" t="s">
        <v>6</v>
      </c>
      <c r="X4" s="78" t="s">
        <v>7</v>
      </c>
      <c r="Y4" s="78" t="s">
        <v>8</v>
      </c>
      <c r="Z4" s="78" t="s">
        <v>7</v>
      </c>
      <c r="AA4" s="78" t="s">
        <v>9</v>
      </c>
      <c r="AB4" s="78" t="s">
        <v>9</v>
      </c>
    </row>
    <row r="5" spans="1:38" s="35" customFormat="1"/>
    <row r="6" spans="1:38" s="35" customFormat="1"/>
    <row r="7" spans="1:38" ht="12.75" customHeight="1">
      <c r="B7" s="53" t="s">
        <v>3</v>
      </c>
      <c r="F7" s="36"/>
      <c r="G7" s="36"/>
      <c r="H7" s="37"/>
      <c r="I7" s="37"/>
      <c r="J7" s="37"/>
      <c r="K7" s="37"/>
      <c r="L7" s="37"/>
      <c r="M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>
      <c r="B8" s="53" t="s">
        <v>87</v>
      </c>
      <c r="F8" s="36"/>
      <c r="G8" s="36"/>
      <c r="H8" s="37"/>
      <c r="I8" s="37"/>
      <c r="J8" s="37"/>
      <c r="K8" s="37"/>
      <c r="L8" s="37"/>
      <c r="M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2.75" customHeight="1">
      <c r="B9" s="53"/>
      <c r="F9" s="36"/>
      <c r="G9" s="36"/>
    </row>
    <row r="10" spans="1:38" ht="12.75" customHeight="1">
      <c r="B10" s="187"/>
      <c r="F10" s="36"/>
      <c r="G10" s="36"/>
    </row>
    <row r="11" spans="1:38" s="35" customFormat="1" ht="12.75" customHeight="1">
      <c r="B11" s="187"/>
      <c r="F11" s="36"/>
      <c r="G11" s="36"/>
    </row>
    <row r="12" spans="1:38" ht="12.75" customHeight="1">
      <c r="B12" s="187"/>
      <c r="F12" s="36"/>
      <c r="G12" s="36"/>
      <c r="H12" s="37"/>
      <c r="I12" s="37"/>
      <c r="J12" s="37"/>
      <c r="K12" s="37"/>
      <c r="L12" s="37"/>
      <c r="M12" s="37"/>
      <c r="AC12" s="37"/>
      <c r="AD12" s="37"/>
      <c r="AE12" s="37"/>
      <c r="AF12" s="37"/>
      <c r="AG12" s="37"/>
      <c r="AH12" s="37"/>
      <c r="AI12" s="37"/>
      <c r="AJ12" s="37"/>
    </row>
    <row r="13" spans="1:38" ht="12.75" customHeight="1">
      <c r="F13" s="36"/>
      <c r="G13" s="36"/>
    </row>
    <row r="14" spans="1:38" ht="12.75" customHeight="1">
      <c r="F14" s="36"/>
      <c r="G14" s="36"/>
    </row>
    <row r="15" spans="1:38" ht="12.75" customHeight="1">
      <c r="F15" s="36"/>
      <c r="G15" s="36"/>
    </row>
    <row r="16" spans="1:38" ht="12.75" customHeight="1">
      <c r="F16" s="36"/>
      <c r="G16" s="36"/>
    </row>
    <row r="17" spans="6:7" ht="12.75" customHeight="1">
      <c r="F17" s="36"/>
      <c r="G17" s="36"/>
    </row>
    <row r="18" spans="6:7" ht="12.75" customHeight="1">
      <c r="F18" s="36"/>
      <c r="G18" s="36"/>
    </row>
    <row r="19" spans="6:7" ht="12.75" customHeight="1">
      <c r="F19" s="36"/>
      <c r="G19" s="36"/>
    </row>
    <row r="20" spans="6:7" ht="12.75" customHeight="1">
      <c r="F20" s="36"/>
      <c r="G20" s="36"/>
    </row>
    <row r="21" spans="6:7" ht="12.75" customHeight="1">
      <c r="F21" s="36"/>
      <c r="G21" s="36"/>
    </row>
    <row r="22" spans="6:7" ht="12.75" customHeight="1">
      <c r="F22" s="36"/>
      <c r="G22" s="36"/>
    </row>
    <row r="23" spans="6:7" ht="12.75" customHeight="1">
      <c r="F23" s="36"/>
      <c r="G23" s="36"/>
    </row>
    <row r="24" spans="6:7" ht="12.75" customHeight="1">
      <c r="F24" s="36"/>
      <c r="G24" s="36"/>
    </row>
    <row r="25" spans="6:7">
      <c r="F25" s="36"/>
      <c r="G25" s="36"/>
    </row>
    <row r="26" spans="6:7" ht="12.75" customHeight="1">
      <c r="F26" s="36"/>
      <c r="G26" s="36"/>
    </row>
    <row r="27" spans="6:7" ht="12.75" customHeight="1">
      <c r="F27" s="36"/>
      <c r="G27" s="36"/>
    </row>
    <row r="28" spans="6:7" ht="12.75" customHeight="1">
      <c r="F28" s="36"/>
      <c r="G28" s="36"/>
    </row>
    <row r="29" spans="6:7" ht="12.75" customHeight="1">
      <c r="F29" s="36"/>
      <c r="G29" s="36"/>
    </row>
    <row r="30" spans="6:7" ht="12.75" customHeight="1">
      <c r="F30" s="36"/>
      <c r="G30" s="36"/>
    </row>
    <row r="31" spans="6:7" ht="12.75" customHeight="1">
      <c r="F31" s="36"/>
      <c r="G31" s="36"/>
    </row>
    <row r="32" spans="6:7" ht="12.75" customHeight="1">
      <c r="F32" s="36"/>
      <c r="G32" s="36"/>
    </row>
    <row r="33" spans="1:7" ht="12.75" customHeight="1">
      <c r="F33" s="36"/>
      <c r="G33" s="36"/>
    </row>
    <row r="34" spans="1:7" ht="12.75" customHeight="1"/>
    <row r="35" spans="1:7" ht="12.75" customHeight="1"/>
    <row r="36" spans="1:7" ht="12.75" customHeight="1"/>
    <row r="37" spans="1:7" ht="12.75" customHeight="1"/>
    <row r="38" spans="1:7" s="23" customFormat="1" ht="12.75" customHeight="1">
      <c r="A38" s="31"/>
      <c r="B38" s="31"/>
    </row>
    <row r="39" spans="1:7" s="23" customFormat="1" ht="12.75" customHeight="1">
      <c r="A39" s="31"/>
      <c r="B39" s="31"/>
    </row>
    <row r="40" spans="1:7" s="23" customFormat="1" ht="12.75" customHeight="1">
      <c r="A40" s="31"/>
      <c r="B40" s="31"/>
    </row>
    <row r="41" spans="1:7" ht="12.75" customHeight="1"/>
    <row r="55" spans="10:16">
      <c r="J55" s="32"/>
      <c r="K55" s="39"/>
      <c r="L55" s="40"/>
      <c r="M55" s="40"/>
      <c r="N55" s="39"/>
      <c r="O55" s="39"/>
    </row>
    <row r="56" spans="10:16">
      <c r="K56" s="32"/>
      <c r="L56" s="39"/>
      <c r="M56" s="40"/>
      <c r="N56" s="40"/>
      <c r="O56" s="39"/>
      <c r="P56" s="39"/>
    </row>
    <row r="57" spans="10:16">
      <c r="K57" s="32"/>
      <c r="L57" s="39"/>
      <c r="M57" s="40"/>
      <c r="N57" s="40"/>
      <c r="O57" s="39"/>
      <c r="P57" s="39"/>
    </row>
    <row r="58" spans="10:16">
      <c r="K58" s="32"/>
      <c r="L58" s="39"/>
      <c r="M58" s="40"/>
      <c r="N58" s="40"/>
      <c r="O58" s="39"/>
      <c r="P58" s="39"/>
    </row>
    <row r="59" spans="10:16">
      <c r="K59" s="32"/>
      <c r="L59" s="39"/>
      <c r="M59" s="40"/>
      <c r="N59" s="40"/>
      <c r="O59" s="39"/>
      <c r="P59" s="39"/>
    </row>
    <row r="60" spans="10:16">
      <c r="K60" s="32"/>
      <c r="L60" s="39"/>
      <c r="M60" s="40"/>
      <c r="N60" s="40"/>
      <c r="O60" s="39"/>
      <c r="P60" s="39"/>
    </row>
    <row r="61" spans="10:16">
      <c r="K61" s="32"/>
      <c r="L61" s="39"/>
      <c r="M61" s="40"/>
      <c r="N61" s="40"/>
      <c r="O61" s="39"/>
      <c r="P61" s="39"/>
    </row>
    <row r="62" spans="10:16">
      <c r="K62" s="32"/>
      <c r="L62" s="39"/>
      <c r="M62" s="40"/>
      <c r="N62" s="40"/>
      <c r="O62" s="39"/>
      <c r="P62" s="39"/>
    </row>
    <row r="63" spans="10:16">
      <c r="K63" s="32"/>
      <c r="L63" s="39"/>
      <c r="M63" s="40"/>
      <c r="N63" s="40"/>
      <c r="O63" s="39"/>
      <c r="P63" s="39"/>
    </row>
    <row r="64" spans="10:16">
      <c r="K64" s="32"/>
      <c r="L64" s="39"/>
      <c r="M64" s="40"/>
      <c r="N64" s="40"/>
      <c r="O64" s="39"/>
      <c r="P64" s="39"/>
    </row>
    <row r="65" spans="1:16" s="23" customFormat="1"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39"/>
      <c r="M65" s="40"/>
      <c r="N65" s="41"/>
      <c r="O65" s="39"/>
      <c r="P65" s="39"/>
    </row>
    <row r="66" spans="1:16" s="23" customForma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9"/>
      <c r="M66" s="41"/>
      <c r="N66" s="41"/>
      <c r="O66" s="39"/>
      <c r="P66" s="39"/>
    </row>
    <row r="67" spans="1:16">
      <c r="A67" s="23"/>
      <c r="K67" s="33"/>
      <c r="M67" s="40"/>
      <c r="N67" s="40"/>
      <c r="O67" s="39"/>
      <c r="P67" s="39"/>
    </row>
    <row r="68" spans="1:16">
      <c r="A68" s="23"/>
      <c r="B68" s="23"/>
      <c r="C68" s="23"/>
      <c r="D68" s="41"/>
      <c r="E68" s="41"/>
      <c r="F68" s="41"/>
      <c r="G68" s="41"/>
      <c r="H68" s="41"/>
      <c r="J68" s="38"/>
    </row>
    <row r="69" spans="1:16">
      <c r="J69" s="38"/>
    </row>
    <row r="70" spans="1:16">
      <c r="F70" s="36"/>
      <c r="G70" s="36"/>
      <c r="J70" s="38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A1:AL70"/>
  <sheetViews>
    <sheetView showGridLines="0" showRowColHeaders="0" zoomScaleNormal="100" workbookViewId="0">
      <selection activeCell="P24" sqref="P24"/>
    </sheetView>
  </sheetViews>
  <sheetFormatPr baseColWidth="10" defaultRowHeight="12.75"/>
  <cols>
    <col min="1" max="1" width="2.7109375" style="31" customWidth="1"/>
    <col min="2" max="2" width="23.7109375" style="31" customWidth="1"/>
    <col min="3" max="3" width="11.42578125" style="31" customWidth="1"/>
    <col min="4" max="8" width="11.42578125" style="31"/>
    <col min="9" max="9" width="11.5703125" style="31" bestFit="1" customWidth="1"/>
    <col min="10" max="16384" width="11.42578125" style="31"/>
  </cols>
  <sheetData>
    <row r="1" spans="1:38">
      <c r="L1" s="88" t="s">
        <v>37</v>
      </c>
    </row>
    <row r="2" spans="1:38">
      <c r="L2" s="89" t="s">
        <v>194</v>
      </c>
    </row>
    <row r="4" spans="1:38">
      <c r="A4" s="34"/>
      <c r="B4" s="22" t="s">
        <v>36</v>
      </c>
      <c r="C4" s="34"/>
      <c r="P4" s="78" t="s">
        <v>9</v>
      </c>
      <c r="Q4" s="78" t="s">
        <v>8</v>
      </c>
      <c r="R4" s="78" t="s">
        <v>10</v>
      </c>
      <c r="S4" s="78" t="s">
        <v>11</v>
      </c>
      <c r="T4" s="78" t="s">
        <v>12</v>
      </c>
      <c r="U4" s="78" t="s">
        <v>13</v>
      </c>
      <c r="V4" s="78" t="s">
        <v>5</v>
      </c>
      <c r="W4" s="78" t="s">
        <v>6</v>
      </c>
      <c r="X4" s="78" t="s">
        <v>7</v>
      </c>
      <c r="Y4" s="78" t="s">
        <v>8</v>
      </c>
      <c r="Z4" s="78" t="s">
        <v>7</v>
      </c>
      <c r="AA4" s="78" t="s">
        <v>9</v>
      </c>
      <c r="AB4" s="78" t="s">
        <v>9</v>
      </c>
    </row>
    <row r="5" spans="1:38" s="35" customFormat="1"/>
    <row r="6" spans="1:38" s="35" customFormat="1"/>
    <row r="7" spans="1:38" ht="12.75" customHeight="1">
      <c r="B7" s="53" t="s">
        <v>89</v>
      </c>
      <c r="F7" s="36"/>
      <c r="G7" s="36"/>
      <c r="H7" s="37"/>
      <c r="I7" s="37"/>
      <c r="J7" s="37"/>
      <c r="K7" s="37"/>
      <c r="L7" s="37"/>
      <c r="M7" s="37"/>
      <c r="P7" s="31" t="s">
        <v>7</v>
      </c>
      <c r="Q7" s="31" t="s">
        <v>8</v>
      </c>
      <c r="R7" s="31" t="s">
        <v>7</v>
      </c>
      <c r="S7" s="31" t="s">
        <v>9</v>
      </c>
      <c r="T7" s="31" t="s">
        <v>9</v>
      </c>
      <c r="U7" s="31" t="s">
        <v>8</v>
      </c>
      <c r="V7" s="31" t="s">
        <v>10</v>
      </c>
      <c r="W7" s="31" t="s">
        <v>11</v>
      </c>
      <c r="X7" s="31" t="s">
        <v>12</v>
      </c>
      <c r="Y7" s="31" t="s">
        <v>13</v>
      </c>
      <c r="Z7" s="31" t="s">
        <v>5</v>
      </c>
      <c r="AA7" s="31" t="s">
        <v>6</v>
      </c>
      <c r="AB7" s="31" t="s">
        <v>7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>
      <c r="B8" s="53" t="s">
        <v>87</v>
      </c>
      <c r="F8" s="36"/>
      <c r="G8" s="36"/>
      <c r="H8" s="37"/>
      <c r="I8" s="37"/>
      <c r="J8" s="37"/>
      <c r="K8" s="37"/>
      <c r="L8" s="37"/>
      <c r="M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2.75" customHeight="1">
      <c r="B9" s="53"/>
      <c r="F9" s="36"/>
      <c r="G9" s="36"/>
    </row>
    <row r="10" spans="1:38" ht="12.75" customHeight="1">
      <c r="B10" s="187"/>
      <c r="F10" s="36"/>
      <c r="G10" s="36"/>
    </row>
    <row r="11" spans="1:38" s="35" customFormat="1" ht="12.75" customHeight="1">
      <c r="B11" s="187"/>
      <c r="F11" s="36"/>
      <c r="G11" s="36"/>
    </row>
    <row r="12" spans="1:38" ht="12.75" customHeight="1">
      <c r="B12" s="187"/>
      <c r="F12" s="36"/>
      <c r="G12" s="36"/>
      <c r="H12" s="37"/>
      <c r="I12" s="37"/>
      <c r="J12" s="37"/>
      <c r="K12" s="37"/>
      <c r="L12" s="37"/>
      <c r="M12" s="37"/>
      <c r="AC12" s="37"/>
      <c r="AD12" s="37"/>
      <c r="AE12" s="37"/>
      <c r="AF12" s="37"/>
      <c r="AG12" s="37"/>
      <c r="AH12" s="37"/>
      <c r="AI12" s="37"/>
      <c r="AJ12" s="37"/>
    </row>
    <row r="13" spans="1:38" ht="12.75" customHeight="1">
      <c r="F13" s="36"/>
      <c r="G13" s="36"/>
    </row>
    <row r="14" spans="1:38" ht="12.75" customHeight="1">
      <c r="F14" s="36"/>
      <c r="G14" s="36"/>
    </row>
    <row r="15" spans="1:38" ht="12.75" customHeight="1">
      <c r="F15" s="36"/>
      <c r="G15" s="36"/>
    </row>
    <row r="16" spans="1:38" ht="12.75" customHeight="1">
      <c r="F16" s="36"/>
      <c r="G16" s="36"/>
    </row>
    <row r="17" spans="6:7" ht="12.75" customHeight="1">
      <c r="F17" s="36"/>
      <c r="G17" s="36"/>
    </row>
    <row r="18" spans="6:7" ht="12.75" customHeight="1">
      <c r="F18" s="36"/>
      <c r="G18" s="36"/>
    </row>
    <row r="19" spans="6:7" ht="12.75" customHeight="1">
      <c r="F19" s="36"/>
      <c r="G19" s="36"/>
    </row>
    <row r="20" spans="6:7" ht="12.75" customHeight="1">
      <c r="F20" s="36"/>
      <c r="G20" s="36"/>
    </row>
    <row r="21" spans="6:7" ht="12.75" customHeight="1">
      <c r="F21" s="36"/>
      <c r="G21" s="36"/>
    </row>
    <row r="22" spans="6:7" ht="12.75" customHeight="1">
      <c r="F22" s="36"/>
      <c r="G22" s="36"/>
    </row>
    <row r="23" spans="6:7" ht="12.75" customHeight="1">
      <c r="F23" s="36"/>
      <c r="G23" s="36"/>
    </row>
    <row r="24" spans="6:7" ht="12.75" customHeight="1">
      <c r="F24" s="36"/>
      <c r="G24" s="36"/>
    </row>
    <row r="25" spans="6:7">
      <c r="F25" s="36"/>
      <c r="G25" s="36"/>
    </row>
    <row r="26" spans="6:7" ht="12.75" customHeight="1">
      <c r="F26" s="36"/>
      <c r="G26" s="36"/>
    </row>
    <row r="27" spans="6:7" ht="12.75" customHeight="1">
      <c r="F27" s="36"/>
      <c r="G27" s="36"/>
    </row>
    <row r="28" spans="6:7" ht="12.75" customHeight="1">
      <c r="F28" s="36"/>
      <c r="G28" s="36"/>
    </row>
    <row r="29" spans="6:7" ht="12.75" customHeight="1">
      <c r="F29" s="36"/>
      <c r="G29" s="36"/>
    </row>
    <row r="30" spans="6:7" ht="12.75" customHeight="1">
      <c r="F30" s="36"/>
      <c r="G30" s="36"/>
    </row>
    <row r="31" spans="6:7" ht="12.75" customHeight="1">
      <c r="F31" s="36"/>
      <c r="G31" s="36"/>
    </row>
    <row r="32" spans="6:7" ht="12.75" customHeight="1">
      <c r="F32" s="36"/>
      <c r="G32" s="36"/>
    </row>
    <row r="33" spans="1:28" ht="12.75" customHeight="1">
      <c r="F33" s="36"/>
      <c r="G33" s="36"/>
    </row>
    <row r="34" spans="1:28" ht="12.75" customHeight="1"/>
    <row r="35" spans="1:28" ht="15">
      <c r="N35" s="79"/>
      <c r="O35" s="79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ht="12.75" customHeight="1">
      <c r="N36" s="79"/>
    </row>
    <row r="37" spans="1:28" ht="15">
      <c r="N37" s="79"/>
      <c r="Z37" s="79"/>
      <c r="AA37" s="79"/>
      <c r="AB37" s="90"/>
    </row>
    <row r="38" spans="1:28" s="23" customFormat="1" ht="15">
      <c r="A38" s="31"/>
      <c r="B38" s="31"/>
      <c r="N38" s="79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84"/>
      <c r="AA38" s="84"/>
      <c r="AB38" s="85"/>
    </row>
    <row r="39" spans="1:28" s="23" customFormat="1" ht="15">
      <c r="A39" s="31"/>
      <c r="B39" s="31"/>
      <c r="N39" s="79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84"/>
      <c r="AA39" s="84"/>
      <c r="AB39" s="85"/>
    </row>
    <row r="40" spans="1:28" s="23" customFormat="1" ht="15">
      <c r="A40" s="31"/>
      <c r="B40" s="31"/>
      <c r="N40" s="79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79"/>
      <c r="AA40" s="79"/>
      <c r="AB40" s="85"/>
    </row>
    <row r="41" spans="1:28" ht="15">
      <c r="N41" s="79"/>
      <c r="Z41" s="84"/>
      <c r="AA41" s="84"/>
      <c r="AB41" s="85"/>
    </row>
    <row r="42" spans="1:28" ht="15">
      <c r="N42" s="79"/>
      <c r="Z42" s="84"/>
      <c r="AA42" s="84"/>
      <c r="AB42" s="85"/>
    </row>
    <row r="43" spans="1:28" ht="15">
      <c r="N43" s="79"/>
    </row>
    <row r="47" spans="1:28">
      <c r="O47" s="39"/>
    </row>
    <row r="48" spans="1:28">
      <c r="O48" s="39"/>
      <c r="P48" s="39"/>
    </row>
    <row r="49" spans="10:28">
      <c r="O49" s="39"/>
      <c r="P49" s="39"/>
    </row>
    <row r="50" spans="10:28">
      <c r="O50" s="39"/>
      <c r="P50" s="39"/>
    </row>
    <row r="51" spans="10:28">
      <c r="O51" s="39"/>
      <c r="P51" s="39"/>
    </row>
    <row r="52" spans="10:28">
      <c r="O52" s="39"/>
      <c r="P52" s="39"/>
    </row>
    <row r="53" spans="10:28">
      <c r="O53" s="39"/>
      <c r="P53" s="39"/>
    </row>
    <row r="54" spans="10:28">
      <c r="O54" s="39"/>
      <c r="P54" s="39"/>
    </row>
    <row r="55" spans="10:28">
      <c r="J55" s="32"/>
      <c r="K55" s="39"/>
      <c r="L55" s="40"/>
      <c r="M55" s="40"/>
      <c r="N55" s="39"/>
      <c r="O55" s="39"/>
      <c r="P55" s="39"/>
    </row>
    <row r="56" spans="10:28">
      <c r="K56" s="32"/>
      <c r="L56" s="39"/>
      <c r="M56" s="40"/>
      <c r="N56" s="40"/>
      <c r="O56" s="39"/>
      <c r="P56" s="39"/>
    </row>
    <row r="57" spans="10:28">
      <c r="K57" s="32"/>
      <c r="L57" s="39"/>
      <c r="M57" s="40"/>
      <c r="N57" s="40"/>
      <c r="O57" s="39"/>
      <c r="P57" s="39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0:28">
      <c r="K58" s="32"/>
      <c r="L58" s="39"/>
      <c r="M58" s="40"/>
      <c r="N58" s="40"/>
      <c r="O58" s="39"/>
      <c r="P58" s="39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0:28">
      <c r="K59" s="32"/>
      <c r="L59" s="39"/>
      <c r="M59" s="40"/>
      <c r="N59" s="40"/>
      <c r="O59" s="39"/>
      <c r="P59" s="39"/>
    </row>
    <row r="60" spans="10:28">
      <c r="K60" s="32"/>
      <c r="L60" s="39"/>
      <c r="M60" s="40"/>
      <c r="N60" s="40"/>
    </row>
    <row r="61" spans="10:28">
      <c r="K61" s="32"/>
      <c r="L61" s="39"/>
      <c r="M61" s="40"/>
      <c r="N61" s="40"/>
    </row>
    <row r="62" spans="10:28">
      <c r="K62" s="32"/>
      <c r="L62" s="39"/>
      <c r="M62" s="40"/>
      <c r="N62" s="40"/>
    </row>
    <row r="63" spans="10:28">
      <c r="K63" s="32"/>
      <c r="L63" s="39"/>
      <c r="M63" s="40"/>
      <c r="N63" s="40"/>
    </row>
    <row r="64" spans="10:28">
      <c r="K64" s="32"/>
      <c r="L64" s="39"/>
      <c r="M64" s="40"/>
      <c r="N64" s="40"/>
    </row>
    <row r="65" spans="1:28" s="23" customFormat="1"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39"/>
      <c r="M65" s="40"/>
      <c r="N65" s="4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23" customForma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9"/>
      <c r="M66" s="41"/>
      <c r="N66" s="4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>
      <c r="A67" s="23"/>
      <c r="K67" s="33"/>
      <c r="M67" s="40"/>
      <c r="N67" s="40"/>
    </row>
    <row r="68" spans="1:28">
      <c r="A68" s="23"/>
      <c r="B68" s="23"/>
      <c r="C68" s="23"/>
      <c r="D68" s="41"/>
      <c r="E68" s="41"/>
      <c r="F68" s="41"/>
      <c r="G68" s="41"/>
      <c r="H68" s="41"/>
      <c r="J68" s="38"/>
    </row>
    <row r="69" spans="1:28">
      <c r="J69" s="38"/>
    </row>
    <row r="70" spans="1:28">
      <c r="F70" s="36"/>
      <c r="G70" s="36"/>
      <c r="J70" s="38"/>
    </row>
  </sheetData>
  <mergeCells count="1">
    <mergeCell ref="B10:B12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AL70"/>
  <sheetViews>
    <sheetView showGridLines="0" showRowColHeaders="0" zoomScaleNormal="100" workbookViewId="0">
      <selection activeCell="R20" sqref="R20"/>
    </sheetView>
  </sheetViews>
  <sheetFormatPr baseColWidth="10" defaultRowHeight="12.75"/>
  <cols>
    <col min="1" max="1" width="2.7109375" style="31" customWidth="1"/>
    <col min="2" max="2" width="21.42578125" style="31" customWidth="1"/>
    <col min="3" max="3" width="11.42578125" style="31" customWidth="1"/>
    <col min="4" max="8" width="11.42578125" style="31"/>
    <col min="9" max="9" width="11.5703125" style="31" bestFit="1" customWidth="1"/>
    <col min="10" max="13" width="11.42578125" style="31"/>
    <col min="14" max="14" width="15.7109375" style="31" customWidth="1"/>
    <col min="15" max="16384" width="11.42578125" style="31"/>
  </cols>
  <sheetData>
    <row r="1" spans="1:38">
      <c r="L1" s="88" t="s">
        <v>37</v>
      </c>
    </row>
    <row r="2" spans="1:38">
      <c r="L2" s="89" t="s">
        <v>194</v>
      </c>
    </row>
    <row r="4" spans="1:38">
      <c r="A4" s="34"/>
      <c r="B4" s="22" t="s">
        <v>36</v>
      </c>
      <c r="C4" s="34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</row>
    <row r="5" spans="1:38" s="35" customFormat="1"/>
    <row r="6" spans="1:38" s="35" customFormat="1"/>
    <row r="7" spans="1:38" ht="12.75" customHeight="1">
      <c r="B7" s="187" t="s">
        <v>28</v>
      </c>
      <c r="F7" s="36"/>
      <c r="G7" s="36"/>
      <c r="H7" s="37"/>
      <c r="I7" s="37"/>
      <c r="J7" s="37"/>
      <c r="K7" s="37"/>
      <c r="L7" s="37"/>
      <c r="M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>
      <c r="B8" s="187"/>
      <c r="F8" s="36"/>
      <c r="G8" s="36"/>
      <c r="H8" s="37"/>
      <c r="I8" s="37"/>
      <c r="J8" s="37"/>
      <c r="K8" s="37"/>
      <c r="L8" s="37"/>
      <c r="M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ht="12.75" customHeight="1">
      <c r="B9" s="53" t="s">
        <v>87</v>
      </c>
      <c r="F9" s="36"/>
      <c r="G9" s="36"/>
    </row>
    <row r="10" spans="1:38" ht="12.75" customHeight="1">
      <c r="B10" s="187"/>
      <c r="F10" s="36"/>
      <c r="G10" s="36"/>
    </row>
    <row r="11" spans="1:38" s="35" customFormat="1" ht="12.75" customHeight="1">
      <c r="B11" s="187"/>
      <c r="F11" s="36"/>
      <c r="G11" s="36"/>
    </row>
    <row r="12" spans="1:38" ht="12.75" customHeight="1">
      <c r="B12" s="187"/>
      <c r="F12" s="36"/>
      <c r="G12" s="36"/>
      <c r="H12" s="37"/>
      <c r="I12" s="37"/>
      <c r="J12" s="37"/>
      <c r="K12" s="37"/>
      <c r="L12" s="37"/>
      <c r="M12" s="37"/>
      <c r="AC12" s="37"/>
      <c r="AD12" s="37"/>
      <c r="AE12" s="37"/>
      <c r="AF12" s="37"/>
      <c r="AG12" s="37"/>
      <c r="AH12" s="37"/>
      <c r="AI12" s="37"/>
      <c r="AJ12" s="37"/>
    </row>
    <row r="13" spans="1:38" ht="12.75" customHeight="1">
      <c r="F13" s="36"/>
      <c r="G13" s="36"/>
    </row>
    <row r="14" spans="1:38" ht="12.75" customHeight="1">
      <c r="F14" s="36"/>
      <c r="G14" s="36"/>
    </row>
    <row r="15" spans="1:38" ht="12.75" customHeight="1">
      <c r="F15" s="36"/>
      <c r="G15" s="36"/>
    </row>
    <row r="16" spans="1:38" ht="12.75" customHeight="1">
      <c r="F16" s="36"/>
      <c r="G16" s="36"/>
    </row>
    <row r="17" spans="6:7" ht="12.75" customHeight="1">
      <c r="F17" s="36"/>
      <c r="G17" s="36"/>
    </row>
    <row r="18" spans="6:7" ht="12.75" customHeight="1">
      <c r="F18" s="36"/>
      <c r="G18" s="36"/>
    </row>
    <row r="19" spans="6:7" ht="12.75" customHeight="1">
      <c r="F19" s="36"/>
      <c r="G19" s="36"/>
    </row>
    <row r="20" spans="6:7" ht="12.75" customHeight="1">
      <c r="F20" s="36"/>
      <c r="G20" s="36"/>
    </row>
    <row r="21" spans="6:7" ht="12.75" customHeight="1">
      <c r="F21" s="36"/>
      <c r="G21" s="36"/>
    </row>
    <row r="22" spans="6:7" ht="12.75" customHeight="1">
      <c r="F22" s="36"/>
      <c r="G22" s="36"/>
    </row>
    <row r="23" spans="6:7" ht="12.75" customHeight="1">
      <c r="F23" s="36"/>
      <c r="G23" s="36"/>
    </row>
    <row r="24" spans="6:7" ht="12.75" customHeight="1">
      <c r="F24" s="36"/>
      <c r="G24" s="36"/>
    </row>
    <row r="25" spans="6:7">
      <c r="F25" s="36"/>
      <c r="G25" s="36"/>
    </row>
    <row r="26" spans="6:7" ht="12.75" customHeight="1">
      <c r="F26" s="36"/>
      <c r="G26" s="36"/>
    </row>
    <row r="27" spans="6:7" ht="12.75" customHeight="1">
      <c r="F27" s="36"/>
      <c r="G27" s="36"/>
    </row>
    <row r="28" spans="6:7" ht="12.75" customHeight="1">
      <c r="F28" s="36"/>
      <c r="G28" s="36"/>
    </row>
    <row r="29" spans="6:7" ht="12.75" customHeight="1">
      <c r="F29" s="36"/>
      <c r="G29" s="36"/>
    </row>
    <row r="30" spans="6:7" ht="12.75" customHeight="1">
      <c r="F30" s="36"/>
      <c r="G30" s="36"/>
    </row>
    <row r="31" spans="6:7" ht="12.75" customHeight="1">
      <c r="F31" s="36"/>
      <c r="G31" s="36"/>
    </row>
    <row r="32" spans="6:7" ht="12.75" customHeight="1">
      <c r="F32" s="36"/>
      <c r="G32" s="36"/>
    </row>
    <row r="33" spans="1:28" ht="12.75" customHeight="1">
      <c r="F33" s="36"/>
      <c r="G33" s="36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3" customFormat="1" ht="12.75" customHeight="1">
      <c r="A38" s="31"/>
      <c r="B38" s="31"/>
      <c r="M38" s="31"/>
    </row>
    <row r="39" spans="1:28" s="23" customFormat="1" ht="12.75" customHeight="1">
      <c r="A39" s="31"/>
      <c r="B39" s="31"/>
      <c r="M39" s="31"/>
    </row>
    <row r="40" spans="1:28" s="23" customFormat="1" ht="12.75" customHeight="1">
      <c r="A40" s="31"/>
      <c r="B40" s="31"/>
      <c r="M40" s="31"/>
    </row>
    <row r="41" spans="1:28" ht="12.75" customHeight="1"/>
    <row r="48" spans="1:28" ht="15">
      <c r="Z48" s="79"/>
      <c r="AA48" s="79"/>
      <c r="AB48" s="85"/>
    </row>
    <row r="49" spans="10:28" ht="15">
      <c r="Z49" s="84"/>
      <c r="AA49" s="84"/>
      <c r="AB49" s="85"/>
    </row>
    <row r="50" spans="10:28" ht="15">
      <c r="Z50" s="84"/>
      <c r="AA50" s="84"/>
      <c r="AB50" s="85"/>
    </row>
    <row r="55" spans="10:28">
      <c r="J55" s="32"/>
      <c r="K55" s="39"/>
      <c r="L55" s="40"/>
      <c r="M55" s="40"/>
      <c r="N55" s="39"/>
      <c r="O55" s="39"/>
    </row>
    <row r="56" spans="10:28">
      <c r="K56" s="32"/>
      <c r="L56" s="39"/>
      <c r="M56" s="40"/>
      <c r="N56" s="40"/>
      <c r="O56" s="39"/>
      <c r="P56" s="39"/>
    </row>
    <row r="57" spans="10:28">
      <c r="K57" s="32"/>
      <c r="L57" s="39"/>
      <c r="M57" s="40"/>
      <c r="N57" s="40"/>
      <c r="O57" s="39"/>
      <c r="P57" s="39"/>
    </row>
    <row r="58" spans="10:28">
      <c r="K58" s="32"/>
      <c r="L58" s="39"/>
      <c r="M58" s="40"/>
      <c r="N58" s="40"/>
      <c r="O58" s="39"/>
      <c r="P58" s="39"/>
    </row>
    <row r="59" spans="10:28">
      <c r="K59" s="32"/>
      <c r="L59" s="39"/>
      <c r="M59" s="40"/>
      <c r="N59" s="40"/>
      <c r="O59" s="39"/>
      <c r="P59" s="39"/>
    </row>
    <row r="60" spans="10:28">
      <c r="K60" s="32"/>
      <c r="L60" s="39"/>
      <c r="M60" s="40"/>
      <c r="N60" s="40"/>
      <c r="O60" s="39"/>
      <c r="P60" s="39"/>
    </row>
    <row r="61" spans="10:28">
      <c r="K61" s="32"/>
      <c r="L61" s="39"/>
      <c r="M61" s="40"/>
      <c r="N61" s="40"/>
      <c r="O61" s="39"/>
      <c r="P61" s="39"/>
    </row>
    <row r="62" spans="10:28">
      <c r="K62" s="32"/>
      <c r="L62" s="39"/>
      <c r="M62" s="40"/>
      <c r="N62" s="40"/>
      <c r="O62" s="39"/>
      <c r="P62" s="39"/>
    </row>
    <row r="63" spans="10:28">
      <c r="K63" s="32"/>
      <c r="L63" s="39"/>
      <c r="M63" s="40"/>
      <c r="N63" s="40"/>
      <c r="O63" s="39"/>
      <c r="P63" s="39"/>
    </row>
    <row r="64" spans="10:28">
      <c r="K64" s="32"/>
      <c r="L64" s="39"/>
      <c r="M64" s="40"/>
      <c r="N64" s="40"/>
      <c r="O64" s="39"/>
      <c r="P64" s="39"/>
    </row>
    <row r="65" spans="1:16" s="23" customFormat="1"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39"/>
      <c r="M65" s="40"/>
      <c r="N65" s="41"/>
      <c r="O65" s="39"/>
      <c r="P65" s="39"/>
    </row>
    <row r="66" spans="1:16" s="23" customForma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9"/>
      <c r="M66" s="41"/>
      <c r="N66" s="41"/>
      <c r="O66" s="39"/>
      <c r="P66" s="39"/>
    </row>
    <row r="67" spans="1:16">
      <c r="A67" s="23"/>
      <c r="K67" s="33"/>
      <c r="M67" s="40"/>
      <c r="N67" s="40"/>
      <c r="O67" s="39"/>
      <c r="P67" s="39"/>
    </row>
    <row r="68" spans="1:16">
      <c r="A68" s="23"/>
      <c r="B68" s="23"/>
      <c r="C68" s="23"/>
      <c r="D68" s="41"/>
      <c r="E68" s="41"/>
      <c r="F68" s="41"/>
      <c r="G68" s="41"/>
      <c r="H68" s="41"/>
      <c r="J68" s="38"/>
    </row>
    <row r="69" spans="1:16">
      <c r="J69" s="38"/>
    </row>
    <row r="70" spans="1:16">
      <c r="F70" s="36"/>
      <c r="G70" s="36"/>
      <c r="J70" s="38"/>
    </row>
  </sheetData>
  <mergeCells count="2">
    <mergeCell ref="B10:B12"/>
    <mergeCell ref="B7:B8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AK70"/>
  <sheetViews>
    <sheetView showGridLines="0" showRowColHeaders="0" zoomScaleNormal="100" workbookViewId="0">
      <selection activeCell="Q14" sqref="Q14"/>
    </sheetView>
  </sheetViews>
  <sheetFormatPr baseColWidth="10" defaultRowHeight="12.75"/>
  <cols>
    <col min="1" max="1" width="2.7109375" style="31" customWidth="1"/>
    <col min="2" max="2" width="22.140625" style="31" customWidth="1"/>
    <col min="3" max="3" width="11.42578125" style="31" customWidth="1"/>
    <col min="4" max="8" width="11.42578125" style="31"/>
    <col min="9" max="9" width="11.5703125" style="31" bestFit="1" customWidth="1"/>
    <col min="10" max="16384" width="11.42578125" style="31"/>
  </cols>
  <sheetData>
    <row r="1" spans="1:37">
      <c r="L1" s="88" t="s">
        <v>37</v>
      </c>
    </row>
    <row r="2" spans="1:37">
      <c r="L2" s="89" t="s">
        <v>194</v>
      </c>
    </row>
    <row r="4" spans="1:37">
      <c r="A4" s="34"/>
      <c r="B4" s="22" t="s">
        <v>36</v>
      </c>
      <c r="C4" s="34"/>
      <c r="O4" s="78" t="s">
        <v>7</v>
      </c>
      <c r="P4" s="78" t="s">
        <v>8</v>
      </c>
      <c r="Q4" s="78" t="s">
        <v>7</v>
      </c>
      <c r="R4" s="78" t="s">
        <v>9</v>
      </c>
      <c r="S4" s="78" t="s">
        <v>9</v>
      </c>
      <c r="T4" s="78" t="s">
        <v>8</v>
      </c>
      <c r="U4" s="78" t="s">
        <v>10</v>
      </c>
      <c r="V4" s="78" t="s">
        <v>11</v>
      </c>
      <c r="W4" s="78" t="s">
        <v>12</v>
      </c>
      <c r="X4" s="78" t="s">
        <v>13</v>
      </c>
      <c r="Y4" s="78" t="s">
        <v>5</v>
      </c>
      <c r="Z4" s="78" t="s">
        <v>6</v>
      </c>
      <c r="AA4" s="78" t="s">
        <v>7</v>
      </c>
    </row>
    <row r="5" spans="1:37" s="35" customFormat="1"/>
    <row r="6" spans="1:37" s="35" customFormat="1"/>
    <row r="7" spans="1:37" ht="12.75" customHeight="1">
      <c r="B7" s="187" t="s">
        <v>27</v>
      </c>
      <c r="F7" s="36"/>
      <c r="G7" s="36"/>
      <c r="H7" s="37"/>
      <c r="I7" s="37"/>
      <c r="J7" s="37"/>
      <c r="K7" s="37"/>
      <c r="L7" s="37"/>
      <c r="M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>
      <c r="B8" s="187"/>
      <c r="F8" s="36"/>
      <c r="G8" s="36"/>
      <c r="H8" s="37"/>
      <c r="I8" s="37"/>
      <c r="J8" s="37"/>
      <c r="K8" s="37"/>
      <c r="L8" s="37"/>
      <c r="M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>
      <c r="B9" s="53" t="s">
        <v>68</v>
      </c>
      <c r="F9" s="36"/>
      <c r="G9" s="36"/>
    </row>
    <row r="10" spans="1:37">
      <c r="B10" s="187"/>
      <c r="F10" s="36"/>
      <c r="G10" s="36"/>
    </row>
    <row r="11" spans="1:37" s="35" customFormat="1">
      <c r="B11" s="187"/>
      <c r="F11" s="36"/>
      <c r="G11" s="36"/>
    </row>
    <row r="12" spans="1:37">
      <c r="B12" s="187"/>
      <c r="F12" s="36"/>
      <c r="G12" s="36"/>
      <c r="H12" s="37"/>
      <c r="I12" s="37"/>
      <c r="J12" s="37"/>
      <c r="K12" s="37"/>
      <c r="L12" s="37"/>
      <c r="M12" s="37"/>
      <c r="AB12" s="37"/>
      <c r="AC12" s="37"/>
      <c r="AD12" s="37"/>
      <c r="AE12" s="37"/>
      <c r="AF12" s="37"/>
      <c r="AG12" s="37"/>
      <c r="AH12" s="37"/>
      <c r="AI12" s="37"/>
    </row>
    <row r="13" spans="1:37">
      <c r="F13" s="36"/>
      <c r="G13" s="36"/>
    </row>
    <row r="14" spans="1:37">
      <c r="F14" s="36"/>
      <c r="G14" s="36"/>
    </row>
    <row r="15" spans="1:37">
      <c r="F15" s="36"/>
      <c r="G15" s="36"/>
    </row>
    <row r="16" spans="1:37">
      <c r="F16" s="36"/>
      <c r="G16" s="36"/>
    </row>
    <row r="17" spans="6:27">
      <c r="F17" s="36"/>
      <c r="G17" s="36"/>
    </row>
    <row r="18" spans="6:27">
      <c r="F18" s="36"/>
      <c r="G18" s="36"/>
    </row>
    <row r="19" spans="6:27">
      <c r="F19" s="36"/>
      <c r="G19" s="36"/>
    </row>
    <row r="20" spans="6:27">
      <c r="F20" s="36"/>
      <c r="G20" s="36"/>
    </row>
    <row r="21" spans="6:27">
      <c r="F21" s="36"/>
      <c r="G21" s="36"/>
    </row>
    <row r="22" spans="6:27">
      <c r="F22" s="36"/>
      <c r="G22" s="36"/>
    </row>
    <row r="23" spans="6:27">
      <c r="F23" s="36"/>
      <c r="G23" s="36"/>
    </row>
    <row r="24" spans="6:27">
      <c r="F24" s="36"/>
      <c r="G24" s="36"/>
    </row>
    <row r="25" spans="6:27">
      <c r="F25" s="36"/>
      <c r="G25" s="36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</row>
    <row r="26" spans="6:27">
      <c r="F26" s="36"/>
      <c r="G26" s="36"/>
    </row>
    <row r="27" spans="6:27">
      <c r="F27" s="36"/>
      <c r="G27" s="36"/>
    </row>
    <row r="28" spans="6:27">
      <c r="F28" s="36"/>
      <c r="G28" s="36"/>
      <c r="P28" s="81"/>
    </row>
    <row r="29" spans="6:27">
      <c r="F29" s="36"/>
      <c r="G29" s="36"/>
      <c r="P29" s="81"/>
    </row>
    <row r="30" spans="6:27">
      <c r="F30" s="36"/>
      <c r="G30" s="36"/>
      <c r="P30" s="81"/>
    </row>
    <row r="31" spans="6:27">
      <c r="F31" s="36"/>
      <c r="G31" s="36"/>
      <c r="P31" s="81"/>
    </row>
    <row r="32" spans="6:27">
      <c r="F32" s="36"/>
      <c r="G32" s="36"/>
      <c r="P32" s="81"/>
    </row>
    <row r="33" spans="1:7">
      <c r="F33" s="36"/>
      <c r="G33" s="36"/>
    </row>
    <row r="34" spans="1:7" ht="12.75" customHeight="1"/>
    <row r="38" spans="1:7" s="23" customFormat="1">
      <c r="A38" s="31"/>
      <c r="B38" s="31"/>
    </row>
    <row r="39" spans="1:7" s="23" customFormat="1">
      <c r="A39" s="31"/>
      <c r="B39" s="31"/>
    </row>
    <row r="40" spans="1:7" s="23" customFormat="1">
      <c r="A40" s="31"/>
      <c r="B40" s="31"/>
    </row>
    <row r="55" spans="10:15">
      <c r="J55" s="32"/>
      <c r="K55" s="39"/>
      <c r="L55" s="40"/>
      <c r="M55" s="40"/>
      <c r="N55" s="39"/>
    </row>
    <row r="56" spans="10:15">
      <c r="K56" s="32"/>
      <c r="L56" s="39"/>
      <c r="M56" s="40"/>
      <c r="N56" s="39"/>
      <c r="O56" s="39"/>
    </row>
    <row r="57" spans="10:15">
      <c r="K57" s="32"/>
      <c r="L57" s="39"/>
      <c r="M57" s="40"/>
      <c r="N57" s="39"/>
      <c r="O57" s="39"/>
    </row>
    <row r="58" spans="10:15">
      <c r="K58" s="32"/>
      <c r="L58" s="39"/>
      <c r="M58" s="40"/>
      <c r="N58" s="39"/>
      <c r="O58" s="39"/>
    </row>
    <row r="59" spans="10:15">
      <c r="K59" s="32"/>
      <c r="L59" s="39"/>
      <c r="M59" s="40"/>
      <c r="N59" s="39"/>
      <c r="O59" s="39"/>
    </row>
    <row r="60" spans="10:15">
      <c r="K60" s="32"/>
      <c r="L60" s="39"/>
      <c r="M60" s="40"/>
      <c r="N60" s="39"/>
      <c r="O60" s="39"/>
    </row>
    <row r="61" spans="10:15">
      <c r="K61" s="32"/>
      <c r="L61" s="39"/>
      <c r="M61" s="40"/>
      <c r="N61" s="39"/>
      <c r="O61" s="39"/>
    </row>
    <row r="62" spans="10:15">
      <c r="K62" s="32"/>
      <c r="L62" s="39"/>
      <c r="M62" s="40"/>
      <c r="N62" s="39"/>
      <c r="O62" s="39"/>
    </row>
    <row r="63" spans="10:15">
      <c r="K63" s="32"/>
      <c r="L63" s="39"/>
      <c r="M63" s="40"/>
      <c r="N63" s="39"/>
      <c r="O63" s="39"/>
    </row>
    <row r="64" spans="10:15">
      <c r="K64" s="32"/>
      <c r="L64" s="39"/>
      <c r="M64" s="40"/>
      <c r="N64" s="39"/>
      <c r="O64" s="39"/>
    </row>
    <row r="65" spans="1:15" s="23" customFormat="1"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39"/>
      <c r="M65" s="40"/>
      <c r="N65" s="39"/>
      <c r="O65" s="39"/>
    </row>
    <row r="66" spans="1:15" s="23" customFormat="1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9"/>
      <c r="M66" s="41"/>
      <c r="N66" s="39"/>
      <c r="O66" s="39"/>
    </row>
    <row r="67" spans="1:15">
      <c r="A67" s="23"/>
      <c r="K67" s="33"/>
      <c r="M67" s="40"/>
      <c r="N67" s="39"/>
      <c r="O67" s="39"/>
    </row>
    <row r="68" spans="1:15">
      <c r="A68" s="23"/>
      <c r="B68" s="23"/>
      <c r="C68" s="23"/>
      <c r="D68" s="41"/>
      <c r="E68" s="41"/>
      <c r="F68" s="41"/>
      <c r="G68" s="41"/>
      <c r="H68" s="41"/>
      <c r="J68" s="38"/>
    </row>
    <row r="69" spans="1:15">
      <c r="J69" s="38"/>
    </row>
    <row r="70" spans="1:15">
      <c r="F70" s="36"/>
      <c r="G70" s="36"/>
      <c r="J70" s="38"/>
    </row>
  </sheetData>
  <mergeCells count="2">
    <mergeCell ref="B7:B8"/>
    <mergeCell ref="B10:B12"/>
  </mergeCells>
  <conditionalFormatting sqref="K67">
    <cfRule type="cellIs" dxfId="0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AF165"/>
  <sheetViews>
    <sheetView showGridLines="0" showRowColHeaders="0" topLeftCell="A130" zoomScale="115" zoomScaleNormal="115" workbookViewId="0">
      <selection activeCell="B1" sqref="B1"/>
    </sheetView>
  </sheetViews>
  <sheetFormatPr baseColWidth="10" defaultRowHeight="12.75"/>
  <cols>
    <col min="1" max="1" width="2.85546875" style="110" customWidth="1"/>
    <col min="2" max="2" width="27.5703125" style="110" customWidth="1"/>
    <col min="3" max="16" width="11.42578125" style="110"/>
    <col min="17" max="17" width="15" style="110" customWidth="1"/>
    <col min="18" max="16384" width="11.42578125" style="110"/>
  </cols>
  <sheetData>
    <row r="2" spans="1:5">
      <c r="B2" s="173" t="s">
        <v>136</v>
      </c>
      <c r="C2" s="174"/>
      <c r="D2" s="174"/>
      <c r="E2" s="174"/>
    </row>
    <row r="3" spans="1:5">
      <c r="B3" s="102" t="s">
        <v>43</v>
      </c>
      <c r="C3" s="102" t="s">
        <v>46</v>
      </c>
      <c r="D3" s="102"/>
      <c r="E3" s="102" t="s">
        <v>15</v>
      </c>
    </row>
    <row r="4" spans="1:5">
      <c r="A4" s="179"/>
      <c r="B4" s="102"/>
      <c r="C4" s="102" t="s">
        <v>47</v>
      </c>
      <c r="D4" s="102" t="s">
        <v>48</v>
      </c>
      <c r="E4" s="102"/>
    </row>
    <row r="5" spans="1:5">
      <c r="A5" s="179">
        <v>1</v>
      </c>
      <c r="B5" s="102" t="s">
        <v>161</v>
      </c>
      <c r="C5" s="102">
        <v>55.4</v>
      </c>
      <c r="D5" s="102">
        <v>38.6</v>
      </c>
      <c r="E5" s="166">
        <v>49.099765825399999</v>
      </c>
    </row>
    <row r="6" spans="1:5">
      <c r="A6" s="179">
        <v>2</v>
      </c>
      <c r="B6" s="102" t="s">
        <v>162</v>
      </c>
      <c r="C6" s="102">
        <v>57.57</v>
      </c>
      <c r="D6" s="102">
        <v>43.31</v>
      </c>
      <c r="E6" s="166">
        <v>51.3635856987</v>
      </c>
    </row>
    <row r="7" spans="1:5">
      <c r="A7" s="179">
        <v>3</v>
      </c>
      <c r="B7" s="102" t="s">
        <v>163</v>
      </c>
      <c r="C7" s="102">
        <v>48.51</v>
      </c>
      <c r="D7" s="102">
        <v>33.81</v>
      </c>
      <c r="E7" s="166">
        <v>40.779890945200002</v>
      </c>
    </row>
    <row r="8" spans="1:5">
      <c r="A8" s="179">
        <v>4</v>
      </c>
      <c r="B8" s="102" t="s">
        <v>164</v>
      </c>
      <c r="C8" s="102">
        <v>47.51</v>
      </c>
      <c r="D8" s="102">
        <v>23.01</v>
      </c>
      <c r="E8" s="166">
        <v>36.285780695299998</v>
      </c>
    </row>
    <row r="9" spans="1:5">
      <c r="A9" s="179">
        <v>5</v>
      </c>
      <c r="B9" s="102" t="s">
        <v>165</v>
      </c>
      <c r="C9" s="102">
        <v>40.19</v>
      </c>
      <c r="D9" s="102">
        <v>12.4</v>
      </c>
      <c r="E9" s="166">
        <v>29.1109408654</v>
      </c>
    </row>
    <row r="10" spans="1:5">
      <c r="A10" s="179">
        <v>6</v>
      </c>
      <c r="B10" s="102" t="s">
        <v>166</v>
      </c>
      <c r="C10" s="102">
        <v>55.58</v>
      </c>
      <c r="D10" s="102">
        <v>25.35</v>
      </c>
      <c r="E10" s="166">
        <v>42.870510874200001</v>
      </c>
    </row>
    <row r="11" spans="1:5">
      <c r="A11" s="179">
        <v>7</v>
      </c>
      <c r="B11" s="102" t="s">
        <v>167</v>
      </c>
      <c r="C11" s="102">
        <v>61.05</v>
      </c>
      <c r="D11" s="102">
        <v>35.86</v>
      </c>
      <c r="E11" s="166">
        <v>49.083362643299999</v>
      </c>
    </row>
    <row r="12" spans="1:5">
      <c r="A12" s="179">
        <v>8</v>
      </c>
      <c r="B12" s="102" t="s">
        <v>168</v>
      </c>
      <c r="C12" s="102">
        <v>55.98</v>
      </c>
      <c r="D12" s="102">
        <v>40.04</v>
      </c>
      <c r="E12" s="166">
        <v>49.732593672900002</v>
      </c>
    </row>
    <row r="13" spans="1:5">
      <c r="A13" s="179">
        <v>9</v>
      </c>
      <c r="B13" s="102" t="s">
        <v>169</v>
      </c>
      <c r="C13" s="102">
        <v>53.49</v>
      </c>
      <c r="D13" s="102">
        <v>44.04</v>
      </c>
      <c r="E13" s="166">
        <v>49.644158299200001</v>
      </c>
    </row>
    <row r="14" spans="1:5">
      <c r="A14" s="179">
        <v>10</v>
      </c>
      <c r="B14" s="102" t="s">
        <v>170</v>
      </c>
      <c r="C14" s="102">
        <v>54.69</v>
      </c>
      <c r="D14" s="102">
        <v>40.74</v>
      </c>
      <c r="E14" s="166">
        <v>48.9789785878</v>
      </c>
    </row>
    <row r="15" spans="1:5">
      <c r="A15" s="179">
        <v>11</v>
      </c>
      <c r="B15" s="102" t="s">
        <v>171</v>
      </c>
      <c r="C15" s="102">
        <v>50.4</v>
      </c>
      <c r="D15" s="102">
        <v>38.590000000000003</v>
      </c>
      <c r="E15" s="166">
        <v>45.943321849100002</v>
      </c>
    </row>
    <row r="16" spans="1:5">
      <c r="A16" s="179">
        <v>12</v>
      </c>
      <c r="B16" s="102" t="s">
        <v>172</v>
      </c>
      <c r="C16" s="102">
        <v>38.9</v>
      </c>
      <c r="D16" s="102">
        <v>12</v>
      </c>
      <c r="E16" s="166">
        <v>21.512604792600001</v>
      </c>
    </row>
    <row r="17" spans="1:5">
      <c r="A17" s="179">
        <v>13</v>
      </c>
      <c r="B17" s="102" t="s">
        <v>173</v>
      </c>
      <c r="C17" s="102">
        <v>49.51</v>
      </c>
      <c r="D17" s="102">
        <v>12</v>
      </c>
      <c r="E17" s="166">
        <v>33.438556841500002</v>
      </c>
    </row>
    <row r="18" spans="1:5">
      <c r="A18" s="179">
        <v>14</v>
      </c>
      <c r="B18" s="102" t="s">
        <v>174</v>
      </c>
      <c r="C18" s="102">
        <v>50.96</v>
      </c>
      <c r="D18" s="102">
        <v>27.73</v>
      </c>
      <c r="E18" s="166">
        <v>39.2312615779</v>
      </c>
    </row>
    <row r="19" spans="1:5">
      <c r="A19" s="179">
        <v>15</v>
      </c>
      <c r="B19" s="102" t="s">
        <v>175</v>
      </c>
      <c r="C19" s="102">
        <v>52.8</v>
      </c>
      <c r="D19" s="102">
        <v>28.71</v>
      </c>
      <c r="E19" s="166">
        <v>44.690179831099996</v>
      </c>
    </row>
    <row r="20" spans="1:5">
      <c r="A20" s="179">
        <v>16</v>
      </c>
      <c r="B20" s="102" t="s">
        <v>176</v>
      </c>
      <c r="C20" s="102">
        <v>51.25</v>
      </c>
      <c r="D20" s="102">
        <v>35.14</v>
      </c>
      <c r="E20" s="166">
        <v>45.666400701800001</v>
      </c>
    </row>
    <row r="21" spans="1:5">
      <c r="A21" s="179">
        <v>17</v>
      </c>
      <c r="B21" s="102" t="s">
        <v>177</v>
      </c>
      <c r="C21" s="102">
        <v>50.53</v>
      </c>
      <c r="D21" s="102">
        <v>40.049999999999997</v>
      </c>
      <c r="E21" s="166">
        <v>46.753900706899998</v>
      </c>
    </row>
    <row r="22" spans="1:5">
      <c r="A22" s="179">
        <v>18</v>
      </c>
      <c r="B22" s="102" t="s">
        <v>178</v>
      </c>
      <c r="C22" s="102">
        <v>48.97</v>
      </c>
      <c r="D22" s="102">
        <v>38.6</v>
      </c>
      <c r="E22" s="166">
        <v>43.380806135699999</v>
      </c>
    </row>
    <row r="23" spans="1:5">
      <c r="A23" s="179">
        <v>19</v>
      </c>
      <c r="B23" s="102" t="s">
        <v>179</v>
      </c>
      <c r="C23" s="102">
        <v>50.85</v>
      </c>
      <c r="D23" s="102">
        <v>36.4</v>
      </c>
      <c r="E23" s="166">
        <v>44.5030831459</v>
      </c>
    </row>
    <row r="24" spans="1:5">
      <c r="A24" s="179">
        <v>20</v>
      </c>
      <c r="B24" s="102" t="s">
        <v>180</v>
      </c>
      <c r="C24" s="102">
        <v>51.13</v>
      </c>
      <c r="D24" s="102">
        <v>42.51</v>
      </c>
      <c r="E24" s="166">
        <v>47.211704385899999</v>
      </c>
    </row>
    <row r="25" spans="1:5">
      <c r="A25" s="179">
        <v>21</v>
      </c>
      <c r="B25" s="102" t="s">
        <v>181</v>
      </c>
      <c r="C25" s="102">
        <v>52.15</v>
      </c>
      <c r="D25" s="102">
        <v>36.89</v>
      </c>
      <c r="E25" s="166">
        <v>46.318136029500003</v>
      </c>
    </row>
    <row r="26" spans="1:5">
      <c r="A26" s="179">
        <v>22</v>
      </c>
      <c r="B26" s="102" t="s">
        <v>182</v>
      </c>
      <c r="C26" s="102">
        <v>48.47</v>
      </c>
      <c r="D26" s="102">
        <v>29.05</v>
      </c>
      <c r="E26" s="166">
        <v>38.447857319100002</v>
      </c>
    </row>
    <row r="27" spans="1:5">
      <c r="A27" s="179">
        <v>23</v>
      </c>
      <c r="B27" s="102" t="s">
        <v>183</v>
      </c>
      <c r="C27" s="102">
        <v>56.97</v>
      </c>
      <c r="D27" s="102">
        <v>28.65</v>
      </c>
      <c r="E27" s="166">
        <v>45.8024700669</v>
      </c>
    </row>
    <row r="28" spans="1:5">
      <c r="A28" s="179">
        <v>24</v>
      </c>
      <c r="B28" s="102" t="s">
        <v>184</v>
      </c>
      <c r="C28" s="102">
        <v>55.31</v>
      </c>
      <c r="D28" s="102">
        <v>48.12</v>
      </c>
      <c r="E28" s="166">
        <v>52.035750978899998</v>
      </c>
    </row>
    <row r="29" spans="1:5">
      <c r="A29" s="179">
        <v>25</v>
      </c>
      <c r="B29" s="102" t="s">
        <v>185</v>
      </c>
      <c r="C29" s="102">
        <v>51.16</v>
      </c>
      <c r="D29" s="102">
        <v>31.44</v>
      </c>
      <c r="E29" s="166">
        <v>40.442364236099998</v>
      </c>
    </row>
    <row r="30" spans="1:5">
      <c r="A30" s="179">
        <v>26</v>
      </c>
      <c r="B30" s="102" t="s">
        <v>186</v>
      </c>
      <c r="C30" s="102">
        <v>44.2</v>
      </c>
      <c r="D30" s="102">
        <v>27.25</v>
      </c>
      <c r="E30" s="166">
        <v>35.396020786699999</v>
      </c>
    </row>
    <row r="31" spans="1:5">
      <c r="A31" s="179">
        <v>27</v>
      </c>
      <c r="B31" s="102" t="s">
        <v>187</v>
      </c>
      <c r="C31" s="102">
        <v>56.8</v>
      </c>
      <c r="D31" s="102">
        <v>31.9</v>
      </c>
      <c r="E31" s="166">
        <v>45.563589362400002</v>
      </c>
    </row>
    <row r="32" spans="1:5">
      <c r="A32" s="179">
        <v>28</v>
      </c>
      <c r="B32" s="102" t="s">
        <v>188</v>
      </c>
      <c r="C32" s="102">
        <v>52.69</v>
      </c>
      <c r="D32" s="102">
        <v>42.28</v>
      </c>
      <c r="E32" s="166">
        <v>48.696953576200002</v>
      </c>
    </row>
    <row r="33" spans="1:10">
      <c r="A33" s="179">
        <v>29</v>
      </c>
      <c r="B33" s="102" t="s">
        <v>189</v>
      </c>
      <c r="C33" s="102">
        <v>53.39</v>
      </c>
      <c r="D33" s="102">
        <v>44.95</v>
      </c>
      <c r="E33" s="166">
        <v>48.675830250799997</v>
      </c>
    </row>
    <row r="34" spans="1:10">
      <c r="A34" s="179">
        <v>30</v>
      </c>
      <c r="B34" s="102" t="s">
        <v>190</v>
      </c>
      <c r="C34" s="102">
        <v>51.53</v>
      </c>
      <c r="D34" s="102">
        <v>36.72</v>
      </c>
      <c r="E34" s="166">
        <v>45.194268336100002</v>
      </c>
    </row>
    <row r="35" spans="1:10">
      <c r="A35" s="179">
        <v>31</v>
      </c>
      <c r="B35" s="102" t="s">
        <v>191</v>
      </c>
      <c r="C35" s="102">
        <v>52.07</v>
      </c>
      <c r="D35" s="102">
        <v>28.66</v>
      </c>
      <c r="E35" s="166">
        <v>41.656537615399998</v>
      </c>
    </row>
    <row r="36" spans="1:10">
      <c r="A36" s="179"/>
      <c r="B36" s="102" t="s">
        <v>192</v>
      </c>
      <c r="C36" s="102" t="s">
        <v>193</v>
      </c>
      <c r="D36" s="102" t="s">
        <v>193</v>
      </c>
      <c r="E36" s="166">
        <v>43.5782373013</v>
      </c>
    </row>
    <row r="37" spans="1:10">
      <c r="A37" s="179"/>
      <c r="B37" s="102"/>
      <c r="C37" s="102"/>
      <c r="D37" s="102"/>
      <c r="E37" s="166"/>
    </row>
    <row r="38" spans="1:10">
      <c r="A38" s="179"/>
      <c r="B38" s="102"/>
      <c r="C38" s="102"/>
      <c r="D38" s="102"/>
      <c r="E38" s="166"/>
    </row>
    <row r="39" spans="1:10">
      <c r="A39" s="179"/>
      <c r="B39" s="102"/>
      <c r="C39" s="102"/>
      <c r="D39" s="102" t="s">
        <v>152</v>
      </c>
      <c r="E39" s="166">
        <v>43.19</v>
      </c>
      <c r="F39" s="181">
        <v>27.8</v>
      </c>
      <c r="G39" s="182">
        <f>(E39/F39-1)</f>
        <v>0.55359712230215807</v>
      </c>
    </row>
    <row r="40" spans="1:10">
      <c r="B40" s="102"/>
      <c r="C40" s="102"/>
      <c r="D40" s="102"/>
      <c r="E40" s="102"/>
    </row>
    <row r="41" spans="1:10">
      <c r="B41" s="128"/>
    </row>
    <row r="42" spans="1:10">
      <c r="B42" s="168" t="s">
        <v>137</v>
      </c>
    </row>
    <row r="43" spans="1:10">
      <c r="B43" s="16"/>
      <c r="C43" s="190" t="s">
        <v>22</v>
      </c>
      <c r="D43" s="190" t="s">
        <v>50</v>
      </c>
      <c r="E43" s="190" t="s">
        <v>51</v>
      </c>
      <c r="F43" s="190" t="s">
        <v>52</v>
      </c>
      <c r="G43" s="190" t="s">
        <v>26</v>
      </c>
      <c r="H43" s="190" t="s">
        <v>53</v>
      </c>
      <c r="I43" s="190" t="s">
        <v>54</v>
      </c>
      <c r="J43" s="190" t="s">
        <v>55</v>
      </c>
    </row>
    <row r="44" spans="1:10">
      <c r="B44" s="17"/>
      <c r="C44" s="191"/>
      <c r="D44" s="191"/>
      <c r="E44" s="191"/>
      <c r="F44" s="191"/>
      <c r="G44" s="191"/>
      <c r="H44" s="191"/>
      <c r="I44" s="191"/>
      <c r="J44" s="191"/>
    </row>
    <row r="45" spans="1:10">
      <c r="A45" s="110" t="s">
        <v>7</v>
      </c>
      <c r="B45" s="18" t="s">
        <v>195</v>
      </c>
      <c r="C45" s="55">
        <v>43.775235531628539</v>
      </c>
      <c r="D45" s="55">
        <v>15.197397936294301</v>
      </c>
      <c r="E45" s="55">
        <v>0</v>
      </c>
      <c r="F45" s="55">
        <v>0</v>
      </c>
      <c r="G45" s="55">
        <v>1.4692687303723644</v>
      </c>
      <c r="H45" s="55">
        <v>12.090623598026019</v>
      </c>
      <c r="I45" s="56">
        <v>0</v>
      </c>
      <c r="J45" s="60">
        <v>27.467474203678773</v>
      </c>
    </row>
    <row r="46" spans="1:10">
      <c r="A46" s="110" t="s">
        <v>8</v>
      </c>
      <c r="B46" s="18" t="s">
        <v>196</v>
      </c>
      <c r="C46" s="55">
        <v>38.090277777777786</v>
      </c>
      <c r="D46" s="55">
        <v>20.729166666666668</v>
      </c>
      <c r="E46" s="55">
        <v>0</v>
      </c>
      <c r="F46" s="55">
        <v>0.27777777777777779</v>
      </c>
      <c r="G46" s="55">
        <v>2.0254629629629628</v>
      </c>
      <c r="H46" s="55">
        <v>7.7083333333333339</v>
      </c>
      <c r="I46" s="56">
        <v>0</v>
      </c>
      <c r="J46" s="60">
        <v>31.168981481481477</v>
      </c>
    </row>
    <row r="47" spans="1:10">
      <c r="A47" s="110" t="s">
        <v>7</v>
      </c>
      <c r="B47" s="18" t="s">
        <v>197</v>
      </c>
      <c r="C47" s="55">
        <v>34.117383512544805</v>
      </c>
      <c r="D47" s="55">
        <v>22.647849462365592</v>
      </c>
      <c r="E47" s="55">
        <v>0</v>
      </c>
      <c r="F47" s="55">
        <v>0.53763440860215062</v>
      </c>
      <c r="G47" s="55">
        <v>1.2320788530465949</v>
      </c>
      <c r="H47" s="55">
        <v>5.6451612903225801</v>
      </c>
      <c r="I47" s="56">
        <v>0</v>
      </c>
      <c r="J47" s="60">
        <v>35.81989247311828</v>
      </c>
    </row>
    <row r="48" spans="1:10">
      <c r="A48" s="110" t="s">
        <v>9</v>
      </c>
      <c r="B48" s="18" t="s">
        <v>198</v>
      </c>
      <c r="C48" s="55">
        <v>37.754629629629633</v>
      </c>
      <c r="D48" s="55">
        <v>12.592592592592593</v>
      </c>
      <c r="E48" s="55">
        <v>0</v>
      </c>
      <c r="F48" s="55">
        <v>0</v>
      </c>
      <c r="G48" s="55">
        <v>6.7592592592592595</v>
      </c>
      <c r="H48" s="55">
        <v>17.314814814814817</v>
      </c>
      <c r="I48" s="56">
        <v>0</v>
      </c>
      <c r="J48" s="60">
        <v>25.578703703703699</v>
      </c>
    </row>
    <row r="49" spans="1:12">
      <c r="A49" s="110" t="s">
        <v>9</v>
      </c>
      <c r="B49" s="18" t="s">
        <v>199</v>
      </c>
      <c r="C49" s="55">
        <v>29.950716845878134</v>
      </c>
      <c r="D49" s="55">
        <v>6.2275985663082425</v>
      </c>
      <c r="E49" s="55">
        <v>0</v>
      </c>
      <c r="F49" s="55">
        <v>0</v>
      </c>
      <c r="G49" s="55">
        <v>15.636200716845877</v>
      </c>
      <c r="H49" s="55">
        <v>26.478494623655912</v>
      </c>
      <c r="I49" s="56">
        <v>0</v>
      </c>
      <c r="J49" s="60">
        <v>21.706989247311832</v>
      </c>
    </row>
    <row r="50" spans="1:12">
      <c r="A50" s="110" t="s">
        <v>8</v>
      </c>
      <c r="B50" s="18" t="s">
        <v>200</v>
      </c>
      <c r="C50" s="55">
        <v>33.590949820788524</v>
      </c>
      <c r="D50" s="55">
        <v>5.5891577060931903</v>
      </c>
      <c r="E50" s="55">
        <v>0</v>
      </c>
      <c r="F50" s="55">
        <v>0</v>
      </c>
      <c r="G50" s="55">
        <v>12.26478494623656</v>
      </c>
      <c r="H50" s="55">
        <v>24.596774193548391</v>
      </c>
      <c r="I50" s="56">
        <v>0</v>
      </c>
      <c r="J50" s="60">
        <v>23.958333333333336</v>
      </c>
    </row>
    <row r="51" spans="1:12">
      <c r="A51" s="110" t="s">
        <v>10</v>
      </c>
      <c r="B51" s="18" t="s">
        <v>201</v>
      </c>
      <c r="C51" s="55">
        <v>42.210648148148145</v>
      </c>
      <c r="D51" s="55">
        <v>5.9027777777777777</v>
      </c>
      <c r="E51" s="55">
        <v>0</v>
      </c>
      <c r="F51" s="55">
        <v>0</v>
      </c>
      <c r="G51" s="55">
        <v>8.3912037037037042</v>
      </c>
      <c r="H51" s="55">
        <v>23.541666666666671</v>
      </c>
      <c r="I51" s="56">
        <v>0</v>
      </c>
      <c r="J51" s="60">
        <v>19.953703703703702</v>
      </c>
    </row>
    <row r="52" spans="1:12">
      <c r="A52" s="110" t="s">
        <v>11</v>
      </c>
      <c r="B52" s="18" t="s">
        <v>202</v>
      </c>
      <c r="C52" s="55">
        <v>41.55465949820789</v>
      </c>
      <c r="D52" s="55">
        <v>7.5716845878136194</v>
      </c>
      <c r="E52" s="55">
        <v>0</v>
      </c>
      <c r="F52" s="55">
        <v>0</v>
      </c>
      <c r="G52" s="55">
        <v>8.4677419354838701</v>
      </c>
      <c r="H52" s="55">
        <v>22.468637992831539</v>
      </c>
      <c r="I52" s="56">
        <v>0</v>
      </c>
      <c r="J52" s="60">
        <v>19.937275985663085</v>
      </c>
    </row>
    <row r="53" spans="1:12">
      <c r="A53" s="110" t="s">
        <v>12</v>
      </c>
      <c r="B53" s="18" t="s">
        <v>203</v>
      </c>
      <c r="C53" s="55">
        <v>31.087962962962962</v>
      </c>
      <c r="D53" s="55">
        <v>9.2592592592592613</v>
      </c>
      <c r="E53" s="55">
        <v>0</v>
      </c>
      <c r="F53" s="55">
        <v>0</v>
      </c>
      <c r="G53" s="55">
        <v>13.495370370370372</v>
      </c>
      <c r="H53" s="55">
        <v>27.361111111111114</v>
      </c>
      <c r="I53" s="56">
        <v>0</v>
      </c>
      <c r="J53" s="60">
        <v>18.796296296296294</v>
      </c>
    </row>
    <row r="54" spans="1:12">
      <c r="A54" s="110" t="s">
        <v>13</v>
      </c>
      <c r="B54" s="18" t="s">
        <v>204</v>
      </c>
      <c r="C54" s="55">
        <v>36.178315412186372</v>
      </c>
      <c r="D54" s="55">
        <v>9.408602150537634</v>
      </c>
      <c r="E54" s="55">
        <v>0</v>
      </c>
      <c r="F54" s="55">
        <v>0</v>
      </c>
      <c r="G54" s="55">
        <v>12.522401433691757</v>
      </c>
      <c r="H54" s="55">
        <v>24.193548387096776</v>
      </c>
      <c r="I54" s="56">
        <v>0</v>
      </c>
      <c r="J54" s="60">
        <v>17.697132616487458</v>
      </c>
    </row>
    <row r="55" spans="1:12">
      <c r="A55" s="110" t="s">
        <v>5</v>
      </c>
      <c r="B55" s="18" t="s">
        <v>205</v>
      </c>
      <c r="C55" s="55">
        <v>43.929211469534053</v>
      </c>
      <c r="D55" s="55">
        <v>7.3028673835125444</v>
      </c>
      <c r="E55" s="55">
        <v>0</v>
      </c>
      <c r="F55" s="55">
        <v>0</v>
      </c>
      <c r="G55" s="55">
        <v>12.253584229390679</v>
      </c>
      <c r="H55" s="55">
        <v>16.50985663082437</v>
      </c>
      <c r="I55" s="56">
        <v>0</v>
      </c>
      <c r="J55" s="60">
        <v>20.004480286738353</v>
      </c>
    </row>
    <row r="56" spans="1:12">
      <c r="A56" s="110" t="s">
        <v>6</v>
      </c>
      <c r="B56" s="18" t="s">
        <v>206</v>
      </c>
      <c r="C56" s="55">
        <v>33.382936507936506</v>
      </c>
      <c r="D56" s="55">
        <v>13.640873015873014</v>
      </c>
      <c r="E56" s="55">
        <v>0</v>
      </c>
      <c r="F56" s="55">
        <v>0.29761904761904762</v>
      </c>
      <c r="G56" s="55">
        <v>6.820436507936507</v>
      </c>
      <c r="H56" s="55">
        <v>23.883928571428573</v>
      </c>
      <c r="I56" s="56">
        <v>0</v>
      </c>
      <c r="J56" s="60">
        <v>21.974206349206348</v>
      </c>
    </row>
    <row r="57" spans="1:12">
      <c r="A57" s="110" t="s">
        <v>7</v>
      </c>
      <c r="B57" s="57" t="s">
        <v>207</v>
      </c>
      <c r="C57" s="58">
        <v>43.965903992821893</v>
      </c>
      <c r="D57" s="58">
        <v>14.984297891431133</v>
      </c>
      <c r="E57" s="58">
        <v>0</v>
      </c>
      <c r="F57" s="58">
        <v>0.13458950201884254</v>
      </c>
      <c r="G57" s="58">
        <v>6.303275011215792</v>
      </c>
      <c r="H57" s="58">
        <v>12.943023777478688</v>
      </c>
      <c r="I57" s="59">
        <v>0</v>
      </c>
      <c r="J57" s="61">
        <v>21.668909825033648</v>
      </c>
    </row>
    <row r="59" spans="1:12">
      <c r="B59" s="168" t="s">
        <v>138</v>
      </c>
    </row>
    <row r="60" spans="1:12">
      <c r="B60" s="16"/>
      <c r="C60" s="192" t="s">
        <v>1</v>
      </c>
      <c r="D60" s="192" t="s">
        <v>2</v>
      </c>
      <c r="E60" s="192" t="s">
        <v>30</v>
      </c>
      <c r="F60" s="192" t="s">
        <v>19</v>
      </c>
      <c r="G60" s="192" t="s">
        <v>20</v>
      </c>
      <c r="H60" s="192" t="s">
        <v>29</v>
      </c>
      <c r="I60" s="192" t="s">
        <v>31</v>
      </c>
      <c r="J60" s="192" t="s">
        <v>35</v>
      </c>
      <c r="K60" s="129"/>
      <c r="L60" s="129"/>
    </row>
    <row r="61" spans="1:12">
      <c r="B61" s="17"/>
      <c r="C61" s="193"/>
      <c r="D61" s="193"/>
      <c r="E61" s="193"/>
      <c r="F61" s="193"/>
      <c r="G61" s="193"/>
      <c r="H61" s="193"/>
      <c r="I61" s="193"/>
      <c r="J61" s="193"/>
      <c r="K61" s="129"/>
      <c r="L61" s="129"/>
    </row>
    <row r="62" spans="1:12">
      <c r="B62" s="18" t="str">
        <f>MID('Data 1'!R83,6,3)&amp; "-" &amp;MID('Data 1'!R83,3,2)</f>
        <v>Mar-16</v>
      </c>
      <c r="C62" s="167">
        <f>VLOOKUP("Mercado Diario",'Data 1'!Q86:AE102,2,FALSE)</f>
        <v>28.65</v>
      </c>
      <c r="D62" s="167">
        <f>VLOOKUP("Mercado Intradiario",'Data 1'!Q86:AE102,2,FALSE)</f>
        <v>0</v>
      </c>
      <c r="E62" s="167">
        <f t="shared" ref="E62:E74" si="0">SUM(C62:D62)</f>
        <v>28.65</v>
      </c>
      <c r="F62" s="167">
        <f>'Data 1'!C89</f>
        <v>4.54</v>
      </c>
      <c r="G62" s="167">
        <f>VLOOKUP("Pago capacidad",'Data 1'!Q86:AE102,2,FALSE)</f>
        <v>2.63</v>
      </c>
      <c r="H62" s="167">
        <f>VLOOKUP("Servicio interrumpibilidad",'Data 1'!Q86:AE102,2,FALSE)</f>
        <v>1.87</v>
      </c>
      <c r="I62" s="167">
        <f t="shared" ref="I62:I74" si="1">SUM(E62:H62)</f>
        <v>37.69</v>
      </c>
      <c r="J62" s="86">
        <f>VLOOKUP("Energía final MWh",'Data 1'!Q84:AE102,2,FALSE)/1000</f>
        <v>21402.936888999997</v>
      </c>
      <c r="K62" s="185">
        <f>E62+F62+G62+H62-VLOOKUP("Coste medio final (€/MWh)",'Data 1'!Q86:AE102,2,FALSE)</f>
        <v>0</v>
      </c>
      <c r="L62" s="129"/>
    </row>
    <row r="63" spans="1:12">
      <c r="B63" s="18" t="str">
        <f>MID('Data 1'!S83,6,3)&amp; "-" &amp;MID('Data 1'!S83,3,2)</f>
        <v>Abr-16</v>
      </c>
      <c r="C63" s="167">
        <f>VLOOKUP("Mercado Diario",'Data 1'!Q86:AE102,3,FALSE)</f>
        <v>24.85</v>
      </c>
      <c r="D63" s="167">
        <f>VLOOKUP("Mercado Intradiario",'Data 1'!Q86:AE102,3,FALSE)</f>
        <v>0</v>
      </c>
      <c r="E63" s="167">
        <f t="shared" si="0"/>
        <v>24.85</v>
      </c>
      <c r="F63" s="167">
        <f>'Data 1'!D89</f>
        <v>4.07</v>
      </c>
      <c r="G63" s="167">
        <f>VLOOKUP("Pago capacidad",'Data 1'!Q86:AE102,3,FALSE)</f>
        <v>2.48</v>
      </c>
      <c r="H63" s="167">
        <f>VLOOKUP("Servicio interrumpibilidad",'Data 1'!Q86:AE102,3,FALSE)</f>
        <v>2.02</v>
      </c>
      <c r="I63" s="167">
        <f t="shared" si="1"/>
        <v>33.42</v>
      </c>
      <c r="J63" s="86">
        <f>VLOOKUP("Energía final MWh",'Data 1'!Q84:AE102,3,FALSE)/1000</f>
        <v>19873.850267000002</v>
      </c>
      <c r="K63" s="185">
        <f>E63+F63+G63+H63-VLOOKUP("Coste medio final (€/MWh)",'Data 1'!Q86:AE102,3,FALSE)</f>
        <v>0</v>
      </c>
      <c r="L63" s="129"/>
    </row>
    <row r="64" spans="1:12">
      <c r="B64" s="18" t="str">
        <f>MID('Data 1'!T83,6,3)&amp; "-" &amp;MID('Data 1'!T83,3,2)</f>
        <v>May-16</v>
      </c>
      <c r="C64" s="167">
        <f>VLOOKUP("Mercado Diario",'Data 1'!Q86:AE102,4,FALSE)</f>
        <v>26.74</v>
      </c>
      <c r="D64" s="167">
        <f>VLOOKUP("Mercado Intradiario",'Data 1'!Q86:AE102,4,FALSE)</f>
        <v>0</v>
      </c>
      <c r="E64" s="167">
        <f t="shared" si="0"/>
        <v>26.74</v>
      </c>
      <c r="F64" s="167">
        <f>'Data 1'!E89</f>
        <v>4.37</v>
      </c>
      <c r="G64" s="167">
        <f>VLOOKUP("Pago capacidad",'Data 1'!Q86:AE102,4,FALSE)</f>
        <v>2.4300000000000002</v>
      </c>
      <c r="H64" s="167">
        <f>VLOOKUP("Servicio interrumpibilidad",'Data 1'!Q86:AE102,4,FALSE)</f>
        <v>2.0299999999999998</v>
      </c>
      <c r="I64" s="167">
        <f t="shared" si="1"/>
        <v>35.57</v>
      </c>
      <c r="J64" s="86">
        <f>VLOOKUP("Energía final MWh",'Data 1'!Q84:AE102,4,FALSE)/1000</f>
        <v>19666.148055000001</v>
      </c>
      <c r="K64" s="185">
        <f>E64+F64+G64+H64-VLOOKUP("Coste medio final (€/MWh)",'Data 1'!Q86:AE102,4,FALSE)</f>
        <v>0</v>
      </c>
      <c r="L64" s="129"/>
    </row>
    <row r="65" spans="2:32">
      <c r="B65" s="18" t="str">
        <f>MID('Data 1'!U83,6,3)&amp; "-" &amp;MID('Data 1'!U83,3,2)</f>
        <v>Jun-16</v>
      </c>
      <c r="C65" s="167">
        <f>VLOOKUP("Mercado Diario",'Data 1'!Q86:AE102,5,FALSE)</f>
        <v>39.29</v>
      </c>
      <c r="D65" s="167">
        <f>VLOOKUP("Mercado Intradiario",'Data 1'!Q86:AE102,5,FALSE)</f>
        <v>0.01</v>
      </c>
      <c r="E65" s="167">
        <f t="shared" si="0"/>
        <v>39.299999999999997</v>
      </c>
      <c r="F65" s="167">
        <f>'Data 1'!F89</f>
        <v>2.5100000000000002</v>
      </c>
      <c r="G65" s="167">
        <f>VLOOKUP("Pago capacidad",'Data 1'!Q86:AE102,5,FALSE)</f>
        <v>2.89</v>
      </c>
      <c r="H65" s="167">
        <f>VLOOKUP("Servicio interrumpibilidad",'Data 1'!Q86:AE102,5,FALSE)</f>
        <v>2</v>
      </c>
      <c r="I65" s="167">
        <f t="shared" si="1"/>
        <v>46.699999999999996</v>
      </c>
      <c r="J65" s="86">
        <f>VLOOKUP("Energía final MWh",'Data 1'!Q84:AE102,5,FALSE)/1000</f>
        <v>20177.555263999999</v>
      </c>
      <c r="K65" s="185">
        <f>E65+F65+G65+H65-VLOOKUP("Coste medio final (€/MWh)",'Data 1'!Q86:AE102,5,FALSE)</f>
        <v>0</v>
      </c>
      <c r="L65" s="129"/>
    </row>
    <row r="66" spans="2:32">
      <c r="B66" s="18" t="str">
        <f>MID('Data 1'!V83,6,3)&amp; "-" &amp;MID('Data 1'!V83,3,2)</f>
        <v>Jul-16</v>
      </c>
      <c r="C66" s="167">
        <f>VLOOKUP("Mercado Diario",'Data 1'!Q86:AE102,6,FALSE)</f>
        <v>41.07</v>
      </c>
      <c r="D66" s="167">
        <f>VLOOKUP("Mercado Intradiario",'Data 1'!Q86:AE102,6,FALSE)</f>
        <v>-0.01</v>
      </c>
      <c r="E66" s="167">
        <f t="shared" si="0"/>
        <v>41.06</v>
      </c>
      <c r="F66" s="167">
        <f>'Data 1'!G89</f>
        <v>2.0299999999999998</v>
      </c>
      <c r="G66" s="167">
        <f>VLOOKUP("Pago capacidad",'Data 1'!Q86:AE102,6,FALSE)</f>
        <v>3.27</v>
      </c>
      <c r="H66" s="167">
        <f>VLOOKUP("Servicio interrumpibilidad",'Data 1'!Q86:AE102,6,FALSE)</f>
        <v>1.82</v>
      </c>
      <c r="I66" s="167">
        <f t="shared" si="1"/>
        <v>48.180000000000007</v>
      </c>
      <c r="J66" s="86">
        <f>VLOOKUP("Energía final MWh",'Data 1'!Q84:AE102,6,FALSE)/1000</f>
        <v>22171.581584</v>
      </c>
      <c r="K66" s="185">
        <f>E66+F66+G66+H66-VLOOKUP("Coste medio final (€/MWh)",'Data 1'!Q86:AE102,6,FALSE)</f>
        <v>0</v>
      </c>
      <c r="L66" s="129"/>
    </row>
    <row r="67" spans="2:32">
      <c r="B67" s="18" t="str">
        <f>MID('Data 1'!W83,6,3)&amp; "-" &amp;MID('Data 1'!W83,3,2)</f>
        <v>Ago-16</v>
      </c>
      <c r="C67" s="167">
        <f>VLOOKUP("Mercado Diario",'Data 1'!Q86:AE102,7,FALSE)</f>
        <v>41.63</v>
      </c>
      <c r="D67" s="167">
        <f>VLOOKUP("Mercado Intradiario",'Data 1'!Q86:AE102,7,FALSE)</f>
        <v>-0.01</v>
      </c>
      <c r="E67" s="167">
        <f t="shared" si="0"/>
        <v>41.620000000000005</v>
      </c>
      <c r="F67" s="167">
        <f>'Data 1'!H89</f>
        <v>2.4100000000000006</v>
      </c>
      <c r="G67" s="167">
        <f>VLOOKUP("Pago capacidad",'Data 1'!Q86:AE102,7,FALSE)</f>
        <v>2.2000000000000002</v>
      </c>
      <c r="H67" s="167">
        <f>VLOOKUP("Servicio interrumpibilidad",'Data 1'!Q86:AE102,7,FALSE)</f>
        <v>1.89</v>
      </c>
      <c r="I67" s="167">
        <f t="shared" si="1"/>
        <v>48.120000000000012</v>
      </c>
      <c r="J67" s="86">
        <f>VLOOKUP("Energía final MWh",'Data 1'!Q84:AE102,7,FALSE)/1000</f>
        <v>21363.493558999999</v>
      </c>
      <c r="K67" s="185">
        <f>E67+F67+G67+H67-VLOOKUP("Coste medio final (€/MWh)",'Data 1'!Q86:AE102,7,FALSE)</f>
        <v>0</v>
      </c>
      <c r="L67" s="129"/>
    </row>
    <row r="68" spans="2:32">
      <c r="B68" s="18" t="str">
        <f>MID('Data 1'!X83,6,3)&amp; "-" &amp;MID('Data 1'!X83,3,2)</f>
        <v>Sep-16</v>
      </c>
      <c r="C68" s="167">
        <f>VLOOKUP("Mercado Diario",'Data 1'!Q86:AE102,8,FALSE)</f>
        <v>44.17</v>
      </c>
      <c r="D68" s="167">
        <f>VLOOKUP("Mercado Intradiario",'Data 1'!Q86:AE102,8,FALSE)</f>
        <v>0</v>
      </c>
      <c r="E68" s="167">
        <f t="shared" si="0"/>
        <v>44.17</v>
      </c>
      <c r="F68" s="167">
        <f>'Data 1'!I89</f>
        <v>2.4600000000000004</v>
      </c>
      <c r="G68" s="167">
        <f>VLOOKUP("Pago capacidad",'Data 1'!Q86:AE102,8,FALSE)</f>
        <v>2.52</v>
      </c>
      <c r="H68" s="167">
        <f>VLOOKUP("Servicio interrumpibilidad",'Data 1'!Q86:AE102,8,FALSE)</f>
        <v>1.94</v>
      </c>
      <c r="I68" s="167">
        <f t="shared" si="1"/>
        <v>51.09</v>
      </c>
      <c r="J68" s="86">
        <f>VLOOKUP("Energía final MWh",'Data 1'!Q84:AE102,8,FALSE)/1000</f>
        <v>20744.364344999998</v>
      </c>
      <c r="K68" s="185">
        <f>E68+F68+G68+H68-VLOOKUP("Coste medio final (€/MWh)",'Data 1'!Q86:AE102,8,FALSE)</f>
        <v>0</v>
      </c>
      <c r="L68" s="129"/>
    </row>
    <row r="69" spans="2:32">
      <c r="B69" s="18" t="str">
        <f>MID('Data 1'!Y83,6,3)&amp; "-" &amp;MID('Data 1'!Y83,3,2)</f>
        <v>Oct-16</v>
      </c>
      <c r="C69" s="167">
        <f>VLOOKUP("Mercado Diario",'Data 1'!Q86:AE102,9,FALSE)</f>
        <v>53.79</v>
      </c>
      <c r="D69" s="167">
        <f>VLOOKUP("Mercado Intradiario",'Data 1'!Q86:AE102,9,FALSE)</f>
        <v>-0.01</v>
      </c>
      <c r="E69" s="167">
        <f t="shared" si="0"/>
        <v>53.78</v>
      </c>
      <c r="F69" s="167">
        <f>'Data 1'!J89</f>
        <v>3</v>
      </c>
      <c r="G69" s="167">
        <f>VLOOKUP("Pago capacidad",'Data 1'!Q86:AE102,9,FALSE)</f>
        <v>2.37</v>
      </c>
      <c r="H69" s="167">
        <f>VLOOKUP("Servicio interrumpibilidad",'Data 1'!Q86:AE102,9,FALSE)</f>
        <v>2.04</v>
      </c>
      <c r="I69" s="167">
        <f t="shared" si="1"/>
        <v>61.19</v>
      </c>
      <c r="J69" s="86">
        <f>VLOOKUP("Energía final MWh",'Data 1'!Q84:AE102,9,FALSE)/1000</f>
        <v>19754.261691</v>
      </c>
      <c r="K69" s="185">
        <f>E69+F69+G69+H69-VLOOKUP("Coste medio final (€/MWh)",'Data 1'!Q86:AE102,9,FALSE)</f>
        <v>0</v>
      </c>
      <c r="L69" s="129"/>
    </row>
    <row r="70" spans="2:32">
      <c r="B70" s="18" t="str">
        <f>MID('Data 1'!Z83,6,3)&amp; "-" &amp;MID('Data 1'!Z83,3,2)</f>
        <v>Nov-16</v>
      </c>
      <c r="C70" s="167">
        <f>VLOOKUP("Mercado Diario",'Data 1'!Q86:AE102,10,FALSE)</f>
        <v>57.4</v>
      </c>
      <c r="D70" s="167">
        <f>VLOOKUP("Mercado Intradiario",'Data 1'!Q86:AE102,10,FALSE)</f>
        <v>0.01</v>
      </c>
      <c r="E70" s="167">
        <f t="shared" si="0"/>
        <v>57.41</v>
      </c>
      <c r="F70" s="167">
        <f>'Data 1'!K89</f>
        <v>1.9300000000000002</v>
      </c>
      <c r="G70" s="167">
        <f>VLOOKUP("Pago capacidad",'Data 1'!Q86:AE102,10,FALSE)</f>
        <v>2.5499999999999998</v>
      </c>
      <c r="H70" s="167">
        <f>VLOOKUP("Servicio interrumpibilidad",'Data 1'!Q86:AE102,10,FALSE)</f>
        <v>1.95</v>
      </c>
      <c r="I70" s="167">
        <f t="shared" si="1"/>
        <v>63.839999999999996</v>
      </c>
      <c r="J70" s="86">
        <f>VLOOKUP("Energía final MWh",'Data 1'!Q84:AE102,10,FALSE)/1000</f>
        <v>20548.101438000002</v>
      </c>
      <c r="K70" s="185">
        <f>E70+F70+G70+H70-VLOOKUP("Coste medio final (€/MWh)",'Data 1'!Q86:AE102,10,FALSE)</f>
        <v>0</v>
      </c>
      <c r="L70" s="129"/>
    </row>
    <row r="71" spans="2:32">
      <c r="B71" s="18" t="str">
        <f>MID('Data 1'!AA83,6,3)&amp; "-" &amp;MID('Data 1'!AA83,3,2)</f>
        <v>Dic-16</v>
      </c>
      <c r="C71" s="167">
        <f>VLOOKUP("Mercado Diario",'Data 1'!Q86:AE102,11,FALSE)</f>
        <v>61.86</v>
      </c>
      <c r="D71" s="167">
        <f>VLOOKUP("Mercado Intradiario",'Data 1'!Q86:AE102,11,FALSE)</f>
        <v>0.01</v>
      </c>
      <c r="E71" s="167">
        <f t="shared" si="0"/>
        <v>61.87</v>
      </c>
      <c r="F71" s="167">
        <f>'Data 1'!L89</f>
        <v>2.04</v>
      </c>
      <c r="G71" s="167">
        <f>VLOOKUP("Pago capacidad",'Data 1'!Q86:AE102,11,FALSE)</f>
        <v>3.22</v>
      </c>
      <c r="H71" s="167">
        <f>VLOOKUP("Servicio interrumpibilidad",'Data 1'!Q86:AE102,11,FALSE)</f>
        <v>1.93</v>
      </c>
      <c r="I71" s="167">
        <f t="shared" si="1"/>
        <v>69.06</v>
      </c>
      <c r="J71" s="86">
        <f>VLOOKUP("Energía final MWh",'Data 1'!Q84:AE102,11,FALSE)/1000</f>
        <v>21242.103765</v>
      </c>
      <c r="K71" s="185">
        <f>E71+F71+G71+H71-VLOOKUP("Coste medio final (€/MWh)",'Data 1'!Q86:AE102,11,FALSE)</f>
        <v>0</v>
      </c>
      <c r="L71" s="129"/>
    </row>
    <row r="72" spans="2:32">
      <c r="B72" s="18" t="str">
        <f>MID('Data 1'!AB83,6,3)&amp; "-" &amp;MID('Data 1'!AB83,3,2)</f>
        <v>Ene-17</v>
      </c>
      <c r="C72" s="167">
        <f>VLOOKUP("Mercado Diario",'Data 1'!Q86:AE102,12,FALSE)</f>
        <v>73.55</v>
      </c>
      <c r="D72" s="167">
        <f>VLOOKUP("Mercado Intradiario",'Data 1'!Q86:AE102,12,FALSE)</f>
        <v>0.04</v>
      </c>
      <c r="E72" s="167">
        <f t="shared" si="0"/>
        <v>73.59</v>
      </c>
      <c r="F72" s="167">
        <f>'Data 1'!M89</f>
        <v>2.9000000000000004</v>
      </c>
      <c r="G72" s="167">
        <f>VLOOKUP("Pago capacidad",'Data 1'!Q86:AE102,12,FALSE)</f>
        <v>3.31</v>
      </c>
      <c r="H72" s="167">
        <f>VLOOKUP("Servicio interrumpibilidad",'Data 1'!Q86:AE102,12,FALSE)</f>
        <v>1.9</v>
      </c>
      <c r="I72" s="167">
        <f t="shared" si="1"/>
        <v>81.700000000000017</v>
      </c>
      <c r="J72" s="86">
        <f>VLOOKUP("Energía final MWh",'Data 1'!Q84:AE102,12,FALSE)/1000</f>
        <v>23014.493329000001</v>
      </c>
      <c r="K72" s="185">
        <f>E72+F72+G72+H72-VLOOKUP("Coste medio final (€/MWh)",'Data 1'!Q86:AE102,12,FALSE)</f>
        <v>0</v>
      </c>
      <c r="L72" s="129"/>
    </row>
    <row r="73" spans="2:32">
      <c r="B73" s="18" t="str">
        <f>MID('Data 1'!AC83,6,3)&amp; "-" &amp;MID('Data 1'!AC83,3,2)</f>
        <v>Feb-17</v>
      </c>
      <c r="C73" s="167">
        <f>VLOOKUP("Mercado Diario",'Data 1'!Q86:AE102,13,FALSE)</f>
        <v>53.04</v>
      </c>
      <c r="D73" s="167">
        <f>VLOOKUP("Mercado Intradiario",'Data 1'!Q86:AE102,13,FALSE)</f>
        <v>0.01</v>
      </c>
      <c r="E73" s="167">
        <f t="shared" si="0"/>
        <v>53.05</v>
      </c>
      <c r="F73" s="167">
        <f>'Data 1'!N89</f>
        <v>2.8400000000000003</v>
      </c>
      <c r="G73" s="167">
        <f>VLOOKUP("Pago capacidad",'Data 1'!Q86:AE102,13,FALSE)</f>
        <v>3.26</v>
      </c>
      <c r="H73" s="167">
        <f>VLOOKUP("Servicio interrumpibilidad",'Data 1'!Q86:AE102,13,FALSE)</f>
        <v>2.19</v>
      </c>
      <c r="I73" s="167">
        <f t="shared" si="1"/>
        <v>61.339999999999996</v>
      </c>
      <c r="J73" s="86">
        <f>VLOOKUP("Energía final MWh",'Data 1'!Q84:AE102,13,FALSE)/1000</f>
        <v>19924.788991999998</v>
      </c>
      <c r="K73" s="185">
        <f>E73+F73+G73+H73-VLOOKUP("Coste medio final (€/MWh)",'Data 1'!Q86:AE102,13,FALSE)</f>
        <v>0</v>
      </c>
    </row>
    <row r="74" spans="2:32">
      <c r="B74" s="57" t="str">
        <f>MID('Data 1'!AD83,6,3)&amp; "-" &amp;MID('Data 1'!AD83,3,2)</f>
        <v>Mar-17</v>
      </c>
      <c r="C74" s="104">
        <f>VLOOKUP("Mercado Diario",'Data 1'!Q86:AE102,14,FALSE)</f>
        <v>43.93</v>
      </c>
      <c r="D74" s="104">
        <f>VLOOKUP("Mercado Intradiario",'Data 1'!Q86:AE102,14,FALSE)</f>
        <v>0.01</v>
      </c>
      <c r="E74" s="104">
        <f t="shared" si="0"/>
        <v>43.94</v>
      </c>
      <c r="F74" s="104">
        <f>'Data 1'!O89</f>
        <v>3.19</v>
      </c>
      <c r="G74" s="104">
        <f>VLOOKUP("Pago capacidad",'Data 1'!Q86:AE102,14,FALSE)</f>
        <v>2.63</v>
      </c>
      <c r="H74" s="104">
        <f>VLOOKUP("Servicio interrumpibilidad",'Data 1'!Q86:AE102,14,FALSE)</f>
        <v>2.0699999999999998</v>
      </c>
      <c r="I74" s="104">
        <f t="shared" si="1"/>
        <v>51.83</v>
      </c>
      <c r="J74" s="103">
        <f>VLOOKUP("Energía final MWh",'Data 1'!Q84:AE102,14,FALSE)/1000</f>
        <v>21040.842763000001</v>
      </c>
      <c r="K74" s="185">
        <f>E74+F74+G74+H74-VLOOKUP("Coste medio final (€/MWh)",'Data 1'!Q86:AE102,14,FALSE)</f>
        <v>0</v>
      </c>
      <c r="L74" s="183">
        <f>(I74/I73-1)*100</f>
        <v>-15.5037495924356</v>
      </c>
      <c r="M74" s="183">
        <f>(I74/I62-1)*100</f>
        <v>37.516582647917218</v>
      </c>
    </row>
    <row r="75" spans="2:32">
      <c r="B75" s="129"/>
      <c r="C75" s="129"/>
      <c r="L75" s="129"/>
    </row>
    <row r="76" spans="2:32">
      <c r="B76" s="168" t="s">
        <v>56</v>
      </c>
    </row>
    <row r="77" spans="2:32" ht="45">
      <c r="B77" s="108"/>
      <c r="C77" s="108" t="s">
        <v>1</v>
      </c>
      <c r="D77" s="108" t="s">
        <v>2</v>
      </c>
      <c r="E77" s="108" t="s">
        <v>57</v>
      </c>
      <c r="F77" s="108" t="s">
        <v>39</v>
      </c>
      <c r="G77" s="108" t="s">
        <v>40</v>
      </c>
      <c r="H77" s="108" t="s">
        <v>19</v>
      </c>
      <c r="I77" s="108" t="s">
        <v>38</v>
      </c>
      <c r="J77" s="108" t="s">
        <v>24</v>
      </c>
      <c r="K77" s="108" t="s">
        <v>45</v>
      </c>
      <c r="L77" s="108" t="s">
        <v>0</v>
      </c>
    </row>
    <row r="78" spans="2:32">
      <c r="B78" s="105" t="s">
        <v>41</v>
      </c>
      <c r="C78" s="165">
        <f>VLOOKUP("Mercado Diario",'Data 1'!Q86:AE102,14,FALSE)</f>
        <v>43.93</v>
      </c>
      <c r="D78" s="165">
        <f>VLOOKUP("Mercado Intradiario",'Data 1'!Q86:AE102,14,FALSE)</f>
        <v>0.01</v>
      </c>
      <c r="E78" s="165">
        <f>SUM(C78:D78)</f>
        <v>43.94</v>
      </c>
      <c r="F78" s="165">
        <f>VLOOKUP("Pago capacidad",'Data 1'!Q86:AE102,14,FALSE)</f>
        <v>2.63</v>
      </c>
      <c r="G78" s="165">
        <f>VLOOKUP("Servicio interrumpibilidad",'Data 1'!Q86:AE102,14,FALSE)</f>
        <v>2.0699999999999998</v>
      </c>
      <c r="H78" s="165">
        <f>SUM(I78,J78:K78)</f>
        <v>3.1900000000000004</v>
      </c>
      <c r="I78" s="165">
        <f>VLOOKUP("Restricciones PBF",'Data 1'!Q86:AE102,14,FALSE)</f>
        <v>2.2200000000000002</v>
      </c>
      <c r="J78" s="165">
        <f>VLOOKUP("Banda secundaria",'Data 1'!Q86:AE102,14,FALSE)</f>
        <v>0.52</v>
      </c>
      <c r="K78" s="165">
        <f>'Data 1'!O83+'Data 1'!O86+'Data 1'!O87+'Data 1'!O88+O84</f>
        <v>0.45</v>
      </c>
      <c r="L78" s="165">
        <f>'Data 1'!AD102</f>
        <v>51.83</v>
      </c>
      <c r="M78" s="185">
        <f>L78-SUM(E78:H78)</f>
        <v>0</v>
      </c>
    </row>
    <row r="80" spans="2:32">
      <c r="B80" s="109" t="s">
        <v>21</v>
      </c>
      <c r="C80" s="130"/>
      <c r="D80" s="130"/>
      <c r="E80" s="130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29"/>
      <c r="Q80" s="129"/>
      <c r="R80" s="129" t="s">
        <v>7</v>
      </c>
      <c r="S80" s="129" t="s">
        <v>8</v>
      </c>
      <c r="T80" s="129" t="s">
        <v>7</v>
      </c>
      <c r="U80" s="129" t="s">
        <v>9</v>
      </c>
      <c r="V80" s="129" t="s">
        <v>9</v>
      </c>
      <c r="W80" s="129" t="s">
        <v>8</v>
      </c>
      <c r="X80" s="129" t="s">
        <v>10</v>
      </c>
      <c r="Y80" s="129" t="s">
        <v>11</v>
      </c>
      <c r="Z80" s="129" t="s">
        <v>12</v>
      </c>
      <c r="AA80" s="129" t="s">
        <v>13</v>
      </c>
      <c r="AB80" s="129" t="s">
        <v>5</v>
      </c>
      <c r="AC80" s="129" t="s">
        <v>6</v>
      </c>
      <c r="AD80" s="129" t="s">
        <v>7</v>
      </c>
      <c r="AE80" s="129"/>
      <c r="AF80" s="129"/>
    </row>
    <row r="81" spans="2:32">
      <c r="B81" s="111"/>
      <c r="C81" s="132" t="str">
        <f t="shared" ref="C81:O81" si="2">MID(R83,6,1)</f>
        <v>M</v>
      </c>
      <c r="D81" s="132" t="str">
        <f t="shared" si="2"/>
        <v>A</v>
      </c>
      <c r="E81" s="132" t="str">
        <f t="shared" si="2"/>
        <v>M</v>
      </c>
      <c r="F81" s="132" t="str">
        <f t="shared" si="2"/>
        <v>J</v>
      </c>
      <c r="G81" s="132" t="str">
        <f t="shared" si="2"/>
        <v>J</v>
      </c>
      <c r="H81" s="132" t="str">
        <f t="shared" si="2"/>
        <v>A</v>
      </c>
      <c r="I81" s="132" t="str">
        <f t="shared" si="2"/>
        <v>S</v>
      </c>
      <c r="J81" s="132" t="str">
        <f t="shared" si="2"/>
        <v>O</v>
      </c>
      <c r="K81" s="132" t="str">
        <f t="shared" si="2"/>
        <v>N</v>
      </c>
      <c r="L81" s="132" t="str">
        <f t="shared" si="2"/>
        <v>D</v>
      </c>
      <c r="M81" s="132" t="str">
        <f t="shared" si="2"/>
        <v>E</v>
      </c>
      <c r="N81" s="132" t="str">
        <f t="shared" si="2"/>
        <v>F</v>
      </c>
      <c r="O81" s="132" t="str">
        <f t="shared" si="2"/>
        <v>M</v>
      </c>
      <c r="P81" s="129"/>
      <c r="Q81" s="112" t="s">
        <v>32</v>
      </c>
      <c r="R81" s="112" t="s">
        <v>100</v>
      </c>
      <c r="S81" s="112" t="s">
        <v>100</v>
      </c>
      <c r="T81" s="112" t="s">
        <v>100</v>
      </c>
      <c r="U81" s="112" t="s">
        <v>100</v>
      </c>
      <c r="V81" s="112" t="s">
        <v>100</v>
      </c>
      <c r="W81" s="112" t="s">
        <v>100</v>
      </c>
      <c r="X81" s="112" t="s">
        <v>100</v>
      </c>
      <c r="Y81" s="112" t="s">
        <v>100</v>
      </c>
      <c r="Z81" s="112" t="s">
        <v>100</v>
      </c>
      <c r="AA81" s="112" t="s">
        <v>100</v>
      </c>
      <c r="AB81" s="112" t="s">
        <v>100</v>
      </c>
      <c r="AC81" s="112" t="s">
        <v>100</v>
      </c>
      <c r="AD81" s="112" t="s">
        <v>100</v>
      </c>
      <c r="AE81" s="133"/>
      <c r="AF81" s="129"/>
    </row>
    <row r="82" spans="2:32">
      <c r="B82" s="112" t="s">
        <v>23</v>
      </c>
      <c r="C82" s="134">
        <f>VLOOKUP("Restricciones PBF",$Q$86:$AE$102,2,FALSE)</f>
        <v>2.88</v>
      </c>
      <c r="D82" s="134">
        <f>VLOOKUP("Restricciones PBF",$Q$86:$AE$102,3,FALSE)</f>
        <v>2.59</v>
      </c>
      <c r="E82" s="134">
        <f>VLOOKUP("Restricciones PBF",$Q$86:$AE$102,4,FALSE)</f>
        <v>2.99</v>
      </c>
      <c r="F82" s="134">
        <f>VLOOKUP("Restricciones PBF",$Q$86:$AE$102,5,FALSE)</f>
        <v>1.84</v>
      </c>
      <c r="G82" s="134">
        <f>VLOOKUP("Restricciones PBF",$Q$86:$AE$102,6,FALSE)</f>
        <v>1.55</v>
      </c>
      <c r="H82" s="134">
        <f>VLOOKUP("Restricciones PBF",$Q$86:$AE$102,7,FALSE)</f>
        <v>1.85</v>
      </c>
      <c r="I82" s="134">
        <f>VLOOKUP("Restricciones PBF",$Q$86:$AE$102,8,FALSE)</f>
        <v>1.91</v>
      </c>
      <c r="J82" s="134">
        <f>VLOOKUP("Restricciones PBF",$Q$86:$AE$102,9,FALSE)</f>
        <v>2.04</v>
      </c>
      <c r="K82" s="134">
        <f>VLOOKUP("Restricciones PBF",$Q$86:$AE$102,10,FALSE)</f>
        <v>0.89</v>
      </c>
      <c r="L82" s="134">
        <f>VLOOKUP("Restricciones PBF",$Q$86:$AE$102,11,FALSE)</f>
        <v>1.1299999999999999</v>
      </c>
      <c r="M82" s="134">
        <f>VLOOKUP("Restricciones PBF",$Q$86:$AE$102,12,FALSE)</f>
        <v>1.48</v>
      </c>
      <c r="N82" s="134">
        <f>VLOOKUP("Restricciones PBF",$Q$86:$AE$102,13,FALSE)</f>
        <v>1.82</v>
      </c>
      <c r="O82" s="134">
        <f>VLOOKUP("Restricciones PBF",$Q$86:$AE$102,14,FALSE)</f>
        <v>2.2200000000000002</v>
      </c>
      <c r="P82" s="129"/>
      <c r="Q82" s="112" t="s">
        <v>101</v>
      </c>
      <c r="R82" s="112">
        <v>201603</v>
      </c>
      <c r="S82" s="112">
        <v>201604</v>
      </c>
      <c r="T82" s="112">
        <v>201605</v>
      </c>
      <c r="U82" s="112">
        <v>201606</v>
      </c>
      <c r="V82" s="112">
        <v>201607</v>
      </c>
      <c r="W82" s="112">
        <v>201608</v>
      </c>
      <c r="X82" s="112">
        <v>201609</v>
      </c>
      <c r="Y82" s="112">
        <v>201610</v>
      </c>
      <c r="Z82" s="112">
        <v>201611</v>
      </c>
      <c r="AA82" s="112">
        <v>201612</v>
      </c>
      <c r="AB82" s="112">
        <v>201701</v>
      </c>
      <c r="AC82" s="112">
        <v>201702</v>
      </c>
      <c r="AD82" s="112">
        <v>201703</v>
      </c>
      <c r="AE82" s="133"/>
      <c r="AF82" s="129"/>
    </row>
    <row r="83" spans="2:32">
      <c r="B83" s="112" t="s">
        <v>28</v>
      </c>
      <c r="C83" s="134">
        <f>VLOOKUP("Restricciones TR",$Q$86:$AE$102,2,FALSE)</f>
        <v>0.16</v>
      </c>
      <c r="D83" s="134">
        <f>VLOOKUP("Restricciones TR",$Q$86:$AE$102,3,FALSE)</f>
        <v>0.18</v>
      </c>
      <c r="E83" s="134">
        <f>VLOOKUP("Restricciones TR",$Q$86:$AE$102,4,FALSE)</f>
        <v>0.13</v>
      </c>
      <c r="F83" s="134">
        <f>VLOOKUP("Restricciones TR",$Q$86:$AE$102,5,FALSE)</f>
        <v>0.1</v>
      </c>
      <c r="G83" s="134">
        <f>VLOOKUP("Restricciones TR",$Q$86:$AE$102,6,FALSE)</f>
        <v>0.03</v>
      </c>
      <c r="H83" s="134">
        <f>VLOOKUP("Restricciones TR",$Q$86:$AE$102,7,FALSE)</f>
        <v>7.0000000000000007E-2</v>
      </c>
      <c r="I83" s="134">
        <f>VLOOKUP("Restricciones TR",$Q$86:$AE$102,8,FALSE)</f>
        <v>0.09</v>
      </c>
      <c r="J83" s="134">
        <f>VLOOKUP("Restricciones TR",$Q$86:$AE$102,9,FALSE)</f>
        <v>0.21</v>
      </c>
      <c r="K83" s="134">
        <f>VLOOKUP("Restricciones TR",$Q$86:$AE$102,10,FALSE)</f>
        <v>0.16</v>
      </c>
      <c r="L83" s="134">
        <f>VLOOKUP("Restricciones TR",$Q$86:$AE$102,11,FALSE)</f>
        <v>0.13</v>
      </c>
      <c r="M83" s="134">
        <f>VLOOKUP("Restricciones TR",$Q$86:$AE$102,12,FALSE)</f>
        <v>0.17</v>
      </c>
      <c r="N83" s="134">
        <f>VLOOKUP("Restricciones TR",$Q$86:$AE$102,13,FALSE)</f>
        <v>0.23</v>
      </c>
      <c r="O83" s="134">
        <f>VLOOKUP("Restricciones TR",$Q$86:$AE$102,14,FALSE)</f>
        <v>0.14000000000000001</v>
      </c>
      <c r="P83" s="129"/>
      <c r="Q83" s="112" t="s">
        <v>102</v>
      </c>
      <c r="R83" s="112" t="s">
        <v>208</v>
      </c>
      <c r="S83" s="112" t="s">
        <v>209</v>
      </c>
      <c r="T83" s="112" t="s">
        <v>210</v>
      </c>
      <c r="U83" s="112" t="s">
        <v>211</v>
      </c>
      <c r="V83" s="112" t="s">
        <v>212</v>
      </c>
      <c r="W83" s="112" t="s">
        <v>213</v>
      </c>
      <c r="X83" s="112" t="s">
        <v>214</v>
      </c>
      <c r="Y83" s="112" t="s">
        <v>215</v>
      </c>
      <c r="Z83" s="112" t="s">
        <v>216</v>
      </c>
      <c r="AA83" s="112" t="s">
        <v>103</v>
      </c>
      <c r="AB83" s="112" t="s">
        <v>217</v>
      </c>
      <c r="AC83" s="112" t="s">
        <v>218</v>
      </c>
      <c r="AD83" s="112" t="s">
        <v>219</v>
      </c>
      <c r="AE83" s="133"/>
      <c r="AF83" s="129"/>
    </row>
    <row r="84" spans="2:32">
      <c r="B84" s="112" t="s">
        <v>27</v>
      </c>
      <c r="C84" s="134">
        <f>VLOOKUP("Reserva subir",$Q$86:$AE$102,2,FALSE)</f>
        <v>0.37</v>
      </c>
      <c r="D84" s="134">
        <f>VLOOKUP("Reserva subir",$Q$86:$AE$102,3,FALSE)</f>
        <v>0.28999999999999998</v>
      </c>
      <c r="E84" s="134">
        <f>VLOOKUP("Reserva subir",$Q$86:$AE$102,4,FALSE)</f>
        <v>0.3</v>
      </c>
      <c r="F84" s="134">
        <f>VLOOKUP("Reserva subir",$Q$86:$AE$102,5,FALSE)</f>
        <v>0</v>
      </c>
      <c r="G84" s="134">
        <f>VLOOKUP("Reserva subir",$Q$86:$AE$102,6,FALSE)</f>
        <v>0</v>
      </c>
      <c r="H84" s="134">
        <f>VLOOKUP("Reserva subir",$Q$86:$AE$102,7,FALSE)</f>
        <v>0</v>
      </c>
      <c r="I84" s="134">
        <f>VLOOKUP("Reserva subir",$Q$86:$AE$102,8,FALSE)</f>
        <v>0.02</v>
      </c>
      <c r="J84" s="134">
        <f>VLOOKUP("Reserva subir",$Q$86:$AE$102,9,FALSE)</f>
        <v>0.25</v>
      </c>
      <c r="K84" s="134">
        <f>VLOOKUP("Reserva subir",$Q$86:$AE$102,10,FALSE)</f>
        <v>0.15</v>
      </c>
      <c r="L84" s="134">
        <f>VLOOKUP("Reserva subir",$Q$86:$AE$102,11,FALSE)</f>
        <v>0.08</v>
      </c>
      <c r="M84" s="134">
        <f>VLOOKUP("Reserva subir",$Q$86:$AE$102,12,FALSE)</f>
        <v>0.27</v>
      </c>
      <c r="N84" s="134">
        <f>VLOOKUP("Reserva subir",$Q$86:$AE$102,13,FALSE)</f>
        <v>0.02</v>
      </c>
      <c r="O84" s="134">
        <f>VLOOKUP("Reserva subir",$Q$86:$AE$102,14,FALSE)</f>
        <v>7.0000000000000007E-2</v>
      </c>
      <c r="P84" s="129"/>
      <c r="Q84" s="112" t="s">
        <v>104</v>
      </c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5"/>
      <c r="AF84" s="129"/>
    </row>
    <row r="85" spans="2:32">
      <c r="B85" s="112" t="s">
        <v>14</v>
      </c>
      <c r="C85" s="134">
        <f>VLOOKUP("Banda Secundaria",$Q$86:$AE$102,2,FALSE)</f>
        <v>1.01</v>
      </c>
      <c r="D85" s="134">
        <f>VLOOKUP("Banda Secundaria",$Q$86:$AE$102,3,FALSE)</f>
        <v>0.9</v>
      </c>
      <c r="E85" s="134">
        <f>VLOOKUP("Banda Secundaria",$Q$86:$AE$102,4,FALSE)</f>
        <v>0.93</v>
      </c>
      <c r="F85" s="134">
        <f>VLOOKUP("Banda Secundaria",$Q$86:$AE$102,5,FALSE)</f>
        <v>0.52</v>
      </c>
      <c r="G85" s="134">
        <f>VLOOKUP("Banda Secundaria",$Q$86:$AE$102,6,FALSE)</f>
        <v>0.47</v>
      </c>
      <c r="H85" s="134">
        <f>VLOOKUP("Banda Secundaria",$Q$86:$AE$102,7,FALSE)</f>
        <v>0.48</v>
      </c>
      <c r="I85" s="134">
        <f>VLOOKUP("Banda Secundaria",$Q$86:$AE$102,8,FALSE)</f>
        <v>0.39</v>
      </c>
      <c r="J85" s="134">
        <f>VLOOKUP("Banda Secundaria",$Q$86:$AE$102,9,FALSE)</f>
        <v>0.51</v>
      </c>
      <c r="K85" s="134">
        <f>VLOOKUP("Banda Secundaria",$Q$86:$AE$102,10,FALSE)</f>
        <v>0.68</v>
      </c>
      <c r="L85" s="134">
        <f>VLOOKUP("Banda Secundaria",$Q$86:$AE$102,11,FALSE)</f>
        <v>0.63</v>
      </c>
      <c r="M85" s="134">
        <f>VLOOKUP("Banda Secundaria",$Q$86:$AE$102,12,FALSE)</f>
        <v>0.87</v>
      </c>
      <c r="N85" s="134">
        <f>VLOOKUP("Banda Secundaria",$Q$86:$AE$102,13,FALSE)</f>
        <v>0.65</v>
      </c>
      <c r="O85" s="134">
        <f>VLOOKUP("Banda Secundaria",$Q$86:$AE$102,14,FALSE)</f>
        <v>0.52</v>
      </c>
      <c r="P85" s="129"/>
      <c r="Q85" s="112" t="s">
        <v>105</v>
      </c>
      <c r="R85" s="134">
        <v>21402936.888999999</v>
      </c>
      <c r="S85" s="134">
        <v>19873850.267000001</v>
      </c>
      <c r="T85" s="134">
        <v>19666148.055</v>
      </c>
      <c r="U85" s="134">
        <v>20177555.263999999</v>
      </c>
      <c r="V85" s="134">
        <v>22171581.583999999</v>
      </c>
      <c r="W85" s="134">
        <v>21363493.559</v>
      </c>
      <c r="X85" s="134">
        <v>20744364.344999999</v>
      </c>
      <c r="Y85" s="134">
        <v>19754261.691</v>
      </c>
      <c r="Z85" s="134">
        <v>20548101.438000001</v>
      </c>
      <c r="AA85" s="134">
        <v>21242103.765000001</v>
      </c>
      <c r="AB85" s="134">
        <v>23014493.329</v>
      </c>
      <c r="AC85" s="134">
        <v>19924788.991999999</v>
      </c>
      <c r="AD85" s="134">
        <v>21040842.763</v>
      </c>
      <c r="AE85" s="136"/>
      <c r="AF85" s="129"/>
    </row>
    <row r="86" spans="2:32">
      <c r="B86" s="112" t="s">
        <v>58</v>
      </c>
      <c r="C86" s="134">
        <f>VLOOKUP("Coste desvíos",$Q$86:$AE$102,2,FALSE)+VLOOKUP("Saldo PO 14.6",$Q$86:$AE$102,2,FALSE)</f>
        <v>0.28000000000000003</v>
      </c>
      <c r="D86" s="134">
        <f>VLOOKUP("Coste desvíos",$Q$86:$AE$102,3,FALSE)+VLOOKUP("Saldo PO 14.6",$Q$86:$AE$102,3,FALSE)</f>
        <v>0.25</v>
      </c>
      <c r="E86" s="134">
        <f>VLOOKUP("Coste desvíos",$Q$86:$AE$102,4,FALSE)+VLOOKUP("Saldo PO 14.6",$Q$86:$AE$102,4,FALSE)</f>
        <v>0.15</v>
      </c>
      <c r="F86" s="134">
        <f>VLOOKUP("Coste desvíos",$Q$86:$AE$102,5,FALSE)+VLOOKUP("Saldo PO 14.6",$Q$86:$AE$102,5,FALSE)</f>
        <v>0.17</v>
      </c>
      <c r="G86" s="134">
        <f>VLOOKUP("Coste desvíos",$Q$86:$AE$102,6,FALSE)+VLOOKUP("Saldo PO 14.6",$Q$86:$AE$102,6,FALSE)</f>
        <v>0.11</v>
      </c>
      <c r="H86" s="134">
        <f>VLOOKUP("Coste desvíos",$Q$86:$AE$102,7,FALSE)+VLOOKUP("Saldo PO 14.6",$Q$86:$AE$102,7,FALSE)</f>
        <v>0.15000000000000002</v>
      </c>
      <c r="I86" s="134">
        <f>VLOOKUP("Coste desvíos",$Q$86:$AE$102,8,FALSE)+VLOOKUP("Saldo PO 14.6",$Q$86:$AE$102,8,FALSE)</f>
        <v>0.19</v>
      </c>
      <c r="J86" s="134">
        <f>VLOOKUP("Coste desvíos",$Q$86:$AE$102,9,FALSE)+VLOOKUP("Saldo PO 14.6",$Q$86:$AE$102,9,FALSE)</f>
        <v>0.13</v>
      </c>
      <c r="K86" s="134">
        <f>VLOOKUP("Coste desvíos",$Q$86:$AE$102,10,FALSE)+VLOOKUP("Saldo PO 14.6",$Q$86:$AE$102,10,FALSE)</f>
        <v>0.24000000000000002</v>
      </c>
      <c r="L86" s="134">
        <f>VLOOKUP("Coste desvíos",$Q$86:$AE$102,11,FALSE)+VLOOKUP("Saldo PO 14.6",$Q$86:$AE$102,11,FALSE)</f>
        <v>0.19</v>
      </c>
      <c r="M86" s="134">
        <f>VLOOKUP("Coste desvíos",$Q$86:$AE$102,12,FALSE)+VLOOKUP("Saldo PO 14.6",$Q$86:$AE$102,12,FALSE)</f>
        <v>0.27</v>
      </c>
      <c r="N86" s="134">
        <f>VLOOKUP("Coste desvíos",$Q$86:$AE$102,13,FALSE)+VLOOKUP("Saldo PO 14.6",$Q$86:$AE$102,13,FALSE)</f>
        <v>0.31</v>
      </c>
      <c r="O86" s="134">
        <f>VLOOKUP("Coste desvíos",$Q$86:$AE$102,14,FALSE)+VLOOKUP("Saldo PO 14.6",$Q$86:$AE$102,14,FALSE)</f>
        <v>0.3</v>
      </c>
      <c r="P86" s="129"/>
      <c r="Q86" s="112" t="s">
        <v>106</v>
      </c>
      <c r="R86" s="134">
        <v>100</v>
      </c>
      <c r="S86" s="134">
        <v>100</v>
      </c>
      <c r="T86" s="134">
        <v>100</v>
      </c>
      <c r="U86" s="134">
        <v>100</v>
      </c>
      <c r="V86" s="134">
        <v>100</v>
      </c>
      <c r="W86" s="134">
        <v>100</v>
      </c>
      <c r="X86" s="134">
        <v>100</v>
      </c>
      <c r="Y86" s="134">
        <v>100</v>
      </c>
      <c r="Z86" s="134">
        <v>100</v>
      </c>
      <c r="AA86" s="134">
        <v>100</v>
      </c>
      <c r="AB86" s="134">
        <v>100</v>
      </c>
      <c r="AC86" s="134">
        <v>100</v>
      </c>
      <c r="AD86" s="134">
        <v>100</v>
      </c>
      <c r="AE86" s="137"/>
      <c r="AF86" s="129"/>
    </row>
    <row r="87" spans="2:32">
      <c r="B87" s="112" t="s">
        <v>18</v>
      </c>
      <c r="C87" s="134">
        <f>VLOOKUP("Saldo desvíos",$Q$86:$AE$102,2,FALSE)+VLOOKUP("Incumplimiento energía balance",$Q$86:$AE$102,2,FALSE)</f>
        <v>-0.09</v>
      </c>
      <c r="D87" s="134">
        <f>VLOOKUP("Saldo desvíos",$Q$86:$AE$102,3,FALSE)+VLOOKUP("Incumplimiento energía balance",$Q$86:$AE$102,3,FALSE)</f>
        <v>-0.08</v>
      </c>
      <c r="E87" s="134">
        <f>VLOOKUP("Saldo desvíos",$Q$86:$AE$102,4,FALSE)+VLOOKUP("Incumplimiento energía balance",$Q$86:$AE$102,4,FALSE)</f>
        <v>-0.06</v>
      </c>
      <c r="F87" s="134">
        <f>VLOOKUP("Saldo desvíos",$Q$86:$AE$102,5,FALSE)+VLOOKUP("Incumplimiento energía balance",$Q$86:$AE$102,5,FALSE)</f>
        <v>-7.0000000000000007E-2</v>
      </c>
      <c r="G87" s="134">
        <f>VLOOKUP("Saldo desvíos",$Q$86:$AE$102,6,FALSE)+VLOOKUP("Incumplimiento energía balance",$Q$86:$AE$102,6,FALSE)</f>
        <v>-0.08</v>
      </c>
      <c r="H87" s="134">
        <f>VLOOKUP("Saldo desvíos",$Q$86:$AE$102,7,FALSE)+VLOOKUP("Incumplimiento energía balance",$Q$86:$AE$102,7,FALSE)</f>
        <v>-9.0000000000000011E-2</v>
      </c>
      <c r="I87" s="134">
        <f>VLOOKUP("Saldo desvíos",$Q$86:$AE$102,8,FALSE)+VLOOKUP("Incumplimiento energía balance",$Q$86:$AE$102,8,FALSE)</f>
        <v>-0.09</v>
      </c>
      <c r="J87" s="134">
        <f>VLOOKUP("Saldo desvíos",$Q$86:$AE$102,9,FALSE)+VLOOKUP("Incumplimiento energía balance",$Q$86:$AE$102,9,FALSE)</f>
        <v>-0.09</v>
      </c>
      <c r="K87" s="134">
        <f>VLOOKUP("Saldo desvíos",$Q$86:$AE$102,10,FALSE)+VLOOKUP("Incumplimiento energía balance",$Q$86:$AE$102,10,FALSE)</f>
        <v>-0.13</v>
      </c>
      <c r="L87" s="134">
        <f>VLOOKUP("Saldo desvíos",$Q$86:$AE$102,11,FALSE)+VLOOKUP("Incumplimiento energía balance",$Q$86:$AE$102,11,FALSE)</f>
        <v>-7.0000000000000007E-2</v>
      </c>
      <c r="M87" s="134">
        <f>VLOOKUP("Saldo desvíos",$Q$86:$AE$102,12,FALSE)+VLOOKUP("Incumplimiento energía balance",$Q$86:$AE$102,12,FALSE)</f>
        <v>-0.09</v>
      </c>
      <c r="N87" s="134">
        <f>VLOOKUP("Saldo desvíos",$Q$86:$AE$102,13,FALSE)+VLOOKUP("Incumplimiento energía balance",$Q$86:$AE$102,13,FALSE)</f>
        <v>-0.12</v>
      </c>
      <c r="O87" s="134">
        <f>VLOOKUP("Saldo desvíos",$Q$86:$AE$102,14,FALSE)+VLOOKUP("Incumplimiento energía balance",$Q$86:$AE$102,14,FALSE)</f>
        <v>-0.06</v>
      </c>
      <c r="P87" s="129"/>
      <c r="Q87" s="112" t="s">
        <v>107</v>
      </c>
      <c r="R87" s="134">
        <v>28.65</v>
      </c>
      <c r="S87" s="134">
        <v>24.85</v>
      </c>
      <c r="T87" s="134">
        <v>26.74</v>
      </c>
      <c r="U87" s="134">
        <v>39.29</v>
      </c>
      <c r="V87" s="134">
        <v>41.07</v>
      </c>
      <c r="W87" s="134">
        <v>41.63</v>
      </c>
      <c r="X87" s="134">
        <v>44.17</v>
      </c>
      <c r="Y87" s="134">
        <v>53.79</v>
      </c>
      <c r="Z87" s="134">
        <v>57.4</v>
      </c>
      <c r="AA87" s="134">
        <v>61.86</v>
      </c>
      <c r="AB87" s="134">
        <v>73.55</v>
      </c>
      <c r="AC87" s="134">
        <v>53.04</v>
      </c>
      <c r="AD87" s="134">
        <v>43.93</v>
      </c>
      <c r="AE87" s="137"/>
      <c r="AF87" s="129"/>
    </row>
    <row r="88" spans="2:32">
      <c r="B88" s="114" t="s">
        <v>25</v>
      </c>
      <c r="C88" s="138">
        <f>VLOOKUP("Control del factor de potencia",$Q$86:$AE$102,2,FALSE)</f>
        <v>-7.0000000000000007E-2</v>
      </c>
      <c r="D88" s="138">
        <f>VLOOKUP("Control del factor de potencia",$Q$86:$AE$102,3,FALSE)</f>
        <v>-0.06</v>
      </c>
      <c r="E88" s="138">
        <f>VLOOKUP("Control del factor de potencia",$Q$86:$AE$102,4,FALSE)</f>
        <v>-7.0000000000000007E-2</v>
      </c>
      <c r="F88" s="138">
        <f>VLOOKUP("Control del factor de potencia",$Q$86:$AE$102,5,FALSE)</f>
        <v>-0.05</v>
      </c>
      <c r="G88" s="138">
        <f>VLOOKUP("Control del factor de potencia",$Q$86:$AE$102,6,FALSE)</f>
        <v>-0.05</v>
      </c>
      <c r="H88" s="138">
        <f>VLOOKUP("Control del factor de potencia",$Q$86:$AE$102,7,FALSE)</f>
        <v>-0.05</v>
      </c>
      <c r="I88" s="138">
        <f>VLOOKUP("Control del factor de potencia",$Q$86:$AE$102,8,FALSE)</f>
        <v>-0.05</v>
      </c>
      <c r="J88" s="138">
        <f>VLOOKUP("Control del factor de potencia",$Q$86:$AE$102,9,FALSE)</f>
        <v>-0.05</v>
      </c>
      <c r="K88" s="138">
        <f>VLOOKUP("Control del factor de potencia",$Q$86:$AE$102,10,FALSE)</f>
        <v>-0.06</v>
      </c>
      <c r="L88" s="138">
        <f>VLOOKUP("Control del factor de potencia",$Q$86:$AE$102,11,FALSE)</f>
        <v>-0.05</v>
      </c>
      <c r="M88" s="138">
        <f>VLOOKUP("Control del factor de potencia",$Q$86:$AE$102,12,FALSE)</f>
        <v>-7.0000000000000007E-2</v>
      </c>
      <c r="N88" s="138">
        <f>VLOOKUP("Control del factor de potencia",$Q$86:$AE$102,13,FALSE)</f>
        <v>-7.0000000000000007E-2</v>
      </c>
      <c r="O88" s="138">
        <f>VLOOKUP("Control del factor de potencia",$Q$86:$AE$102,14,FALSE)</f>
        <v>0</v>
      </c>
      <c r="P88" s="129"/>
      <c r="Q88" s="112" t="s">
        <v>108</v>
      </c>
      <c r="R88" s="134">
        <v>2.88</v>
      </c>
      <c r="S88" s="134">
        <v>2.59</v>
      </c>
      <c r="T88" s="134">
        <v>2.99</v>
      </c>
      <c r="U88" s="134">
        <v>1.84</v>
      </c>
      <c r="V88" s="134">
        <v>1.55</v>
      </c>
      <c r="W88" s="134">
        <v>1.85</v>
      </c>
      <c r="X88" s="134">
        <v>1.91</v>
      </c>
      <c r="Y88" s="134">
        <v>2.04</v>
      </c>
      <c r="Z88" s="134">
        <v>0.89</v>
      </c>
      <c r="AA88" s="134">
        <v>1.1299999999999999</v>
      </c>
      <c r="AB88" s="134">
        <v>1.48</v>
      </c>
      <c r="AC88" s="134">
        <v>1.82</v>
      </c>
      <c r="AD88" s="134">
        <v>2.2200000000000002</v>
      </c>
      <c r="AE88" s="137"/>
      <c r="AF88" s="129"/>
    </row>
    <row r="89" spans="2:32">
      <c r="B89" s="129"/>
      <c r="C89" s="19">
        <f t="shared" ref="C89:N89" si="3">SUM(C82:C88)</f>
        <v>4.54</v>
      </c>
      <c r="D89" s="19">
        <f t="shared" si="3"/>
        <v>4.07</v>
      </c>
      <c r="E89" s="19">
        <f t="shared" si="3"/>
        <v>4.37</v>
      </c>
      <c r="F89" s="19">
        <f t="shared" si="3"/>
        <v>2.5100000000000002</v>
      </c>
      <c r="G89" s="19">
        <f t="shared" si="3"/>
        <v>2.0299999999999998</v>
      </c>
      <c r="H89" s="19">
        <f t="shared" si="3"/>
        <v>2.4100000000000006</v>
      </c>
      <c r="I89" s="19">
        <f t="shared" si="3"/>
        <v>2.4600000000000004</v>
      </c>
      <c r="J89" s="19">
        <f t="shared" si="3"/>
        <v>3</v>
      </c>
      <c r="K89" s="19">
        <f t="shared" si="3"/>
        <v>1.9300000000000002</v>
      </c>
      <c r="L89" s="19">
        <f t="shared" si="3"/>
        <v>2.04</v>
      </c>
      <c r="M89" s="19">
        <f t="shared" si="3"/>
        <v>2.9000000000000004</v>
      </c>
      <c r="N89" s="19">
        <f t="shared" si="3"/>
        <v>2.8400000000000003</v>
      </c>
      <c r="O89" s="19">
        <f>SUM(O82:O88)</f>
        <v>3.19</v>
      </c>
      <c r="P89" s="129"/>
      <c r="Q89" s="112" t="s">
        <v>109</v>
      </c>
      <c r="R89" s="134">
        <v>0.16</v>
      </c>
      <c r="S89" s="134">
        <v>0.18</v>
      </c>
      <c r="T89" s="134">
        <v>0.13</v>
      </c>
      <c r="U89" s="134">
        <v>0.1</v>
      </c>
      <c r="V89" s="134">
        <v>0.03</v>
      </c>
      <c r="W89" s="134">
        <v>7.0000000000000007E-2</v>
      </c>
      <c r="X89" s="134">
        <v>0.09</v>
      </c>
      <c r="Y89" s="134">
        <v>0.21</v>
      </c>
      <c r="Z89" s="134">
        <v>0.16</v>
      </c>
      <c r="AA89" s="134">
        <v>0.13</v>
      </c>
      <c r="AB89" s="134">
        <v>0.17</v>
      </c>
      <c r="AC89" s="134">
        <v>0.23</v>
      </c>
      <c r="AD89" s="134">
        <v>0.14000000000000001</v>
      </c>
      <c r="AE89" s="137"/>
      <c r="AF89" s="129"/>
    </row>
    <row r="90" spans="2:3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12" t="s">
        <v>110</v>
      </c>
      <c r="R90" s="134">
        <v>0</v>
      </c>
      <c r="S90" s="134">
        <v>0</v>
      </c>
      <c r="T90" s="134">
        <v>0</v>
      </c>
      <c r="U90" s="134">
        <v>0.01</v>
      </c>
      <c r="V90" s="134">
        <v>-0.01</v>
      </c>
      <c r="W90" s="134">
        <v>-0.01</v>
      </c>
      <c r="X90" s="134">
        <v>0</v>
      </c>
      <c r="Y90" s="134">
        <v>-0.01</v>
      </c>
      <c r="Z90" s="134">
        <v>0.01</v>
      </c>
      <c r="AA90" s="134">
        <v>0.01</v>
      </c>
      <c r="AB90" s="134">
        <v>0.04</v>
      </c>
      <c r="AC90" s="134">
        <v>0.01</v>
      </c>
      <c r="AD90" s="134">
        <v>0.01</v>
      </c>
      <c r="AE90" s="137"/>
      <c r="AF90" s="129"/>
    </row>
    <row r="91" spans="2:32">
      <c r="B91" s="12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12" t="s">
        <v>83</v>
      </c>
      <c r="N91" s="112"/>
      <c r="O91" s="175">
        <f>(O89-C89)/C89</f>
        <v>-0.29735682819383263</v>
      </c>
      <c r="P91" s="129"/>
      <c r="Q91" s="112" t="s">
        <v>111</v>
      </c>
      <c r="R91" s="134">
        <v>0</v>
      </c>
      <c r="S91" s="134">
        <v>0</v>
      </c>
      <c r="T91" s="134">
        <v>0</v>
      </c>
      <c r="U91" s="134">
        <v>0</v>
      </c>
      <c r="V91" s="134">
        <v>0</v>
      </c>
      <c r="W91" s="134">
        <v>0</v>
      </c>
      <c r="X91" s="134">
        <v>0</v>
      </c>
      <c r="Y91" s="134">
        <v>0</v>
      </c>
      <c r="Z91" s="134">
        <v>0</v>
      </c>
      <c r="AA91" s="134">
        <v>0</v>
      </c>
      <c r="AB91" s="134">
        <v>0</v>
      </c>
      <c r="AC91" s="134">
        <v>0</v>
      </c>
      <c r="AD91" s="134">
        <v>0</v>
      </c>
      <c r="AE91" s="137"/>
      <c r="AF91" s="129"/>
    </row>
    <row r="92" spans="2:32">
      <c r="B92" s="12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12" t="s">
        <v>84</v>
      </c>
      <c r="N92" s="112"/>
      <c r="O92" s="119"/>
      <c r="P92" s="129"/>
      <c r="Q92" s="112" t="s">
        <v>112</v>
      </c>
      <c r="R92" s="134">
        <v>0.37</v>
      </c>
      <c r="S92" s="134">
        <v>0.28999999999999998</v>
      </c>
      <c r="T92" s="134">
        <v>0.3</v>
      </c>
      <c r="U92" s="134">
        <v>0</v>
      </c>
      <c r="V92" s="134">
        <v>0</v>
      </c>
      <c r="W92" s="134">
        <v>0</v>
      </c>
      <c r="X92" s="134">
        <v>0.02</v>
      </c>
      <c r="Y92" s="134">
        <v>0.25</v>
      </c>
      <c r="Z92" s="134">
        <v>0.15</v>
      </c>
      <c r="AA92" s="134">
        <v>0.08</v>
      </c>
      <c r="AB92" s="134">
        <v>0.27</v>
      </c>
      <c r="AC92" s="134">
        <v>0.02</v>
      </c>
      <c r="AD92" s="134">
        <v>7.0000000000000007E-2</v>
      </c>
      <c r="AE92" s="137"/>
      <c r="AF92" s="129"/>
    </row>
    <row r="93" spans="2:32">
      <c r="B93" s="129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29"/>
      <c r="Q93" s="112" t="s">
        <v>113</v>
      </c>
      <c r="R93" s="134">
        <v>1.01</v>
      </c>
      <c r="S93" s="134">
        <v>0.9</v>
      </c>
      <c r="T93" s="134">
        <v>0.93</v>
      </c>
      <c r="U93" s="134">
        <v>0.52</v>
      </c>
      <c r="V93" s="134">
        <v>0.47</v>
      </c>
      <c r="W93" s="134">
        <v>0.48</v>
      </c>
      <c r="X93" s="134">
        <v>0.39</v>
      </c>
      <c r="Y93" s="134">
        <v>0.51</v>
      </c>
      <c r="Z93" s="134">
        <v>0.68</v>
      </c>
      <c r="AA93" s="134">
        <v>0.63</v>
      </c>
      <c r="AB93" s="134">
        <v>0.87</v>
      </c>
      <c r="AC93" s="134">
        <v>0.65</v>
      </c>
      <c r="AD93" s="134">
        <v>0.52</v>
      </c>
      <c r="AE93" s="137"/>
      <c r="AF93" s="129"/>
    </row>
    <row r="94" spans="2:32">
      <c r="B94" s="12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29"/>
      <c r="Q94" s="112" t="s">
        <v>114</v>
      </c>
      <c r="R94" s="134">
        <v>-0.01</v>
      </c>
      <c r="S94" s="134">
        <v>-0.01</v>
      </c>
      <c r="T94" s="134">
        <v>-0.02</v>
      </c>
      <c r="U94" s="134">
        <v>-0.02</v>
      </c>
      <c r="V94" s="134">
        <v>-0.02</v>
      </c>
      <c r="W94" s="134">
        <v>-0.02</v>
      </c>
      <c r="X94" s="134">
        <v>-0.03</v>
      </c>
      <c r="Y94" s="134">
        <v>-0.03</v>
      </c>
      <c r="Z94" s="134">
        <v>-0.05</v>
      </c>
      <c r="AA94" s="134">
        <v>-0.04</v>
      </c>
      <c r="AB94" s="134">
        <v>-0.05</v>
      </c>
      <c r="AC94" s="134">
        <v>-0.03</v>
      </c>
      <c r="AD94" s="134">
        <v>-0.03</v>
      </c>
      <c r="AE94" s="137"/>
      <c r="AF94" s="129"/>
    </row>
    <row r="95" spans="2:32"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1"/>
      <c r="Q95" s="112" t="s">
        <v>115</v>
      </c>
      <c r="R95" s="134">
        <v>0.27</v>
      </c>
      <c r="S95" s="134">
        <v>0.23</v>
      </c>
      <c r="T95" s="134">
        <v>0.15</v>
      </c>
      <c r="U95" s="134">
        <v>0.14000000000000001</v>
      </c>
      <c r="V95" s="134">
        <v>0.12</v>
      </c>
      <c r="W95" s="134">
        <v>0.14000000000000001</v>
      </c>
      <c r="X95" s="134">
        <v>0.2</v>
      </c>
      <c r="Y95" s="134">
        <v>0.14000000000000001</v>
      </c>
      <c r="Z95" s="134">
        <v>0.23</v>
      </c>
      <c r="AA95" s="134">
        <v>0.19</v>
      </c>
      <c r="AB95" s="134">
        <v>0.24</v>
      </c>
      <c r="AC95" s="134">
        <v>0.31</v>
      </c>
      <c r="AD95" s="134">
        <v>0.3</v>
      </c>
      <c r="AE95" s="137"/>
      <c r="AF95" s="129"/>
    </row>
    <row r="96" spans="2:32"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12" t="s">
        <v>116</v>
      </c>
      <c r="R96" s="134">
        <v>-0.08</v>
      </c>
      <c r="S96" s="134">
        <v>-7.0000000000000007E-2</v>
      </c>
      <c r="T96" s="134">
        <v>-0.04</v>
      </c>
      <c r="U96" s="134">
        <v>-0.05</v>
      </c>
      <c r="V96" s="134">
        <v>-0.06</v>
      </c>
      <c r="W96" s="134">
        <v>-7.0000000000000007E-2</v>
      </c>
      <c r="X96" s="134">
        <v>-0.06</v>
      </c>
      <c r="Y96" s="134">
        <v>-0.06</v>
      </c>
      <c r="Z96" s="134">
        <v>-0.08</v>
      </c>
      <c r="AA96" s="134">
        <v>-0.03</v>
      </c>
      <c r="AB96" s="134">
        <v>-0.04</v>
      </c>
      <c r="AC96" s="134">
        <v>-0.09</v>
      </c>
      <c r="AD96" s="134">
        <v>-0.03</v>
      </c>
      <c r="AE96" s="137"/>
      <c r="AF96" s="129"/>
    </row>
    <row r="97" spans="2:32"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12" t="s">
        <v>25</v>
      </c>
      <c r="R97" s="134">
        <v>-7.0000000000000007E-2</v>
      </c>
      <c r="S97" s="134">
        <v>-0.06</v>
      </c>
      <c r="T97" s="134">
        <v>-7.0000000000000007E-2</v>
      </c>
      <c r="U97" s="134">
        <v>-0.05</v>
      </c>
      <c r="V97" s="134">
        <v>-0.05</v>
      </c>
      <c r="W97" s="134">
        <v>-0.05</v>
      </c>
      <c r="X97" s="134">
        <v>-0.05</v>
      </c>
      <c r="Y97" s="134">
        <v>-0.05</v>
      </c>
      <c r="Z97" s="134">
        <v>-0.06</v>
      </c>
      <c r="AA97" s="134">
        <v>-0.05</v>
      </c>
      <c r="AB97" s="134">
        <v>-7.0000000000000007E-2</v>
      </c>
      <c r="AC97" s="134">
        <v>-7.0000000000000007E-2</v>
      </c>
      <c r="AD97" s="134">
        <v>0</v>
      </c>
      <c r="AE97" s="137"/>
      <c r="AF97" s="129"/>
    </row>
    <row r="98" spans="2:32">
      <c r="Q98" s="112" t="s">
        <v>117</v>
      </c>
      <c r="R98" s="134">
        <v>2.63</v>
      </c>
      <c r="S98" s="134">
        <v>2.48</v>
      </c>
      <c r="T98" s="134">
        <v>2.4300000000000002</v>
      </c>
      <c r="U98" s="134">
        <v>2.89</v>
      </c>
      <c r="V98" s="134">
        <v>3.27</v>
      </c>
      <c r="W98" s="134">
        <v>2.2000000000000002</v>
      </c>
      <c r="X98" s="134">
        <v>2.52</v>
      </c>
      <c r="Y98" s="134">
        <v>2.37</v>
      </c>
      <c r="Z98" s="134">
        <v>2.5499999999999998</v>
      </c>
      <c r="AA98" s="134">
        <v>3.22</v>
      </c>
      <c r="AB98" s="134">
        <v>3.31</v>
      </c>
      <c r="AC98" s="134">
        <v>3.26</v>
      </c>
      <c r="AD98" s="134">
        <v>2.63</v>
      </c>
      <c r="AE98" s="137"/>
    </row>
    <row r="99" spans="2:32">
      <c r="Q99" s="112" t="s">
        <v>40</v>
      </c>
      <c r="R99" s="134">
        <v>1.87</v>
      </c>
      <c r="S99" s="134">
        <v>2.02</v>
      </c>
      <c r="T99" s="134">
        <v>2.0299999999999998</v>
      </c>
      <c r="U99" s="134">
        <v>2</v>
      </c>
      <c r="V99" s="134">
        <v>1.82</v>
      </c>
      <c r="W99" s="134">
        <v>1.89</v>
      </c>
      <c r="X99" s="134">
        <v>1.94</v>
      </c>
      <c r="Y99" s="134">
        <v>2.04</v>
      </c>
      <c r="Z99" s="134">
        <v>1.95</v>
      </c>
      <c r="AA99" s="134">
        <v>1.93</v>
      </c>
      <c r="AB99" s="134">
        <v>1.9</v>
      </c>
      <c r="AC99" s="134">
        <v>2.19</v>
      </c>
      <c r="AD99" s="134">
        <v>2.0699999999999998</v>
      </c>
      <c r="AE99" s="137"/>
    </row>
    <row r="100" spans="2:32">
      <c r="Q100" s="112" t="s">
        <v>118</v>
      </c>
      <c r="R100" s="134">
        <v>0.01</v>
      </c>
      <c r="S100" s="134">
        <v>0.02</v>
      </c>
      <c r="T100" s="134">
        <v>0</v>
      </c>
      <c r="U100" s="134">
        <v>0.03</v>
      </c>
      <c r="V100" s="134">
        <v>-0.01</v>
      </c>
      <c r="W100" s="134">
        <v>0.01</v>
      </c>
      <c r="X100" s="134">
        <v>-0.01</v>
      </c>
      <c r="Y100" s="134">
        <v>-0.01</v>
      </c>
      <c r="Z100" s="134">
        <v>0.01</v>
      </c>
      <c r="AA100" s="134">
        <v>0</v>
      </c>
      <c r="AB100" s="134">
        <v>0.03</v>
      </c>
      <c r="AC100" s="134">
        <v>0</v>
      </c>
      <c r="AD100" s="134">
        <v>0</v>
      </c>
      <c r="AE100" s="137"/>
    </row>
    <row r="101" spans="2:32">
      <c r="Q101" s="112" t="s">
        <v>119</v>
      </c>
      <c r="R101" s="134">
        <v>0</v>
      </c>
      <c r="S101" s="134">
        <v>0</v>
      </c>
      <c r="T101" s="134">
        <v>0</v>
      </c>
      <c r="U101" s="134">
        <v>0</v>
      </c>
      <c r="V101" s="134">
        <v>0</v>
      </c>
      <c r="W101" s="134">
        <v>0</v>
      </c>
      <c r="X101" s="134">
        <v>0</v>
      </c>
      <c r="Y101" s="134">
        <v>0</v>
      </c>
      <c r="Z101" s="134">
        <v>0</v>
      </c>
      <c r="AA101" s="134">
        <v>0</v>
      </c>
      <c r="AB101" s="134">
        <v>0</v>
      </c>
      <c r="AC101" s="134">
        <v>0</v>
      </c>
      <c r="AD101" s="134">
        <v>0</v>
      </c>
      <c r="AE101" s="137"/>
    </row>
    <row r="102" spans="2:32">
      <c r="Q102" s="112" t="s">
        <v>120</v>
      </c>
      <c r="R102" s="134">
        <v>37.69</v>
      </c>
      <c r="S102" s="134">
        <v>33.42</v>
      </c>
      <c r="T102" s="134">
        <v>35.57</v>
      </c>
      <c r="U102" s="134">
        <v>46.7</v>
      </c>
      <c r="V102" s="134">
        <v>48.18</v>
      </c>
      <c r="W102" s="134">
        <v>48.12</v>
      </c>
      <c r="X102" s="134">
        <v>51.09</v>
      </c>
      <c r="Y102" s="134">
        <v>61.19</v>
      </c>
      <c r="Z102" s="134">
        <v>63.84</v>
      </c>
      <c r="AA102" s="134">
        <v>69.06</v>
      </c>
      <c r="AB102" s="134">
        <v>81.7</v>
      </c>
      <c r="AC102" s="134">
        <v>61.34</v>
      </c>
      <c r="AD102" s="134">
        <v>51.83</v>
      </c>
    </row>
    <row r="104" spans="2:32">
      <c r="B104" s="109" t="s">
        <v>139</v>
      </c>
      <c r="C104" s="109"/>
      <c r="D104" s="109"/>
      <c r="E104" s="109"/>
      <c r="F104" s="109"/>
      <c r="G104" s="109"/>
      <c r="H104" s="109"/>
      <c r="I104" s="131"/>
    </row>
    <row r="105" spans="2:32">
      <c r="B105" s="111" t="s">
        <v>121</v>
      </c>
      <c r="C105" s="111" t="s">
        <v>219</v>
      </c>
      <c r="D105" s="111" t="s">
        <v>219</v>
      </c>
      <c r="E105" s="111"/>
      <c r="F105" s="111" t="s">
        <v>121</v>
      </c>
      <c r="G105" s="111" t="s">
        <v>208</v>
      </c>
      <c r="H105" s="111" t="s">
        <v>208</v>
      </c>
      <c r="I105" s="112"/>
    </row>
    <row r="106" spans="2:32">
      <c r="B106" s="111" t="s">
        <v>32</v>
      </c>
      <c r="C106" s="111" t="s">
        <v>122</v>
      </c>
      <c r="D106" s="111" t="s">
        <v>123</v>
      </c>
      <c r="E106" s="111"/>
      <c r="F106" s="111" t="s">
        <v>32</v>
      </c>
      <c r="G106" s="111" t="s">
        <v>122</v>
      </c>
      <c r="H106" s="111" t="s">
        <v>123</v>
      </c>
      <c r="I106" s="112"/>
    </row>
    <row r="107" spans="2:32">
      <c r="B107" s="112" t="s">
        <v>220</v>
      </c>
      <c r="C107" s="134"/>
      <c r="D107" s="134"/>
      <c r="E107" s="134"/>
      <c r="F107" s="112" t="s">
        <v>220</v>
      </c>
      <c r="G107" s="112"/>
      <c r="H107" s="112"/>
      <c r="I107" s="112"/>
    </row>
    <row r="108" spans="2:32">
      <c r="B108" s="112" t="s">
        <v>221</v>
      </c>
      <c r="C108" s="134">
        <v>46815788.259999998</v>
      </c>
      <c r="D108" s="134">
        <v>-46815788.259999998</v>
      </c>
      <c r="E108" s="134"/>
      <c r="F108" s="112" t="s">
        <v>221</v>
      </c>
      <c r="G108" s="134">
        <v>61568024.450000003</v>
      </c>
      <c r="H108" s="134">
        <v>-61568024.450000003</v>
      </c>
      <c r="I108" s="134"/>
    </row>
    <row r="109" spans="2:32">
      <c r="B109" s="112" t="s">
        <v>222</v>
      </c>
      <c r="C109" s="134">
        <v>1545552.59</v>
      </c>
      <c r="D109" s="134">
        <v>-1545552.59</v>
      </c>
      <c r="E109" s="134"/>
      <c r="F109" s="112" t="s">
        <v>222</v>
      </c>
      <c r="G109" s="134">
        <v>8000255.7199999997</v>
      </c>
      <c r="H109" s="134">
        <v>-8000255.7199999997</v>
      </c>
      <c r="I109" s="134"/>
    </row>
    <row r="110" spans="2:32">
      <c r="B110" s="112" t="s">
        <v>223</v>
      </c>
      <c r="C110" s="134">
        <v>10893793.91</v>
      </c>
      <c r="D110" s="134">
        <v>-10893793.91</v>
      </c>
      <c r="E110" s="134"/>
      <c r="F110" s="112" t="s">
        <v>223</v>
      </c>
      <c r="G110" s="134">
        <v>21672045.969999999</v>
      </c>
      <c r="H110" s="134">
        <v>-21672045.969999999</v>
      </c>
      <c r="I110" s="134"/>
    </row>
    <row r="111" spans="2:32">
      <c r="B111" s="112" t="s">
        <v>224</v>
      </c>
      <c r="C111" s="134">
        <v>3069612.46</v>
      </c>
      <c r="D111" s="134">
        <v>-3037799.77</v>
      </c>
      <c r="E111" s="134"/>
      <c r="F111" s="112" t="s">
        <v>224</v>
      </c>
      <c r="G111" s="134">
        <v>3449236.59</v>
      </c>
      <c r="H111" s="134">
        <v>-3444743.53</v>
      </c>
      <c r="I111" s="134"/>
    </row>
    <row r="112" spans="2:32">
      <c r="B112" s="112" t="s">
        <v>225</v>
      </c>
      <c r="C112" s="134" t="s">
        <v>193</v>
      </c>
      <c r="D112" s="134">
        <v>244.8</v>
      </c>
      <c r="E112" s="134"/>
      <c r="F112" s="112" t="s">
        <v>225</v>
      </c>
      <c r="G112" s="134">
        <v>8722.23</v>
      </c>
      <c r="H112" s="134">
        <v>-5366.24</v>
      </c>
      <c r="I112" s="134"/>
    </row>
    <row r="113" spans="2:9">
      <c r="B113" s="112" t="s">
        <v>89</v>
      </c>
      <c r="C113" s="134">
        <v>4093892.93</v>
      </c>
      <c r="D113" s="134">
        <v>-1872050.88</v>
      </c>
      <c r="E113" s="134"/>
      <c r="F113" s="112" t="s">
        <v>89</v>
      </c>
      <c r="G113" s="134">
        <v>676593.97</v>
      </c>
      <c r="H113" s="134">
        <v>3650922.16</v>
      </c>
      <c r="I113" s="134"/>
    </row>
    <row r="114" spans="2:9">
      <c r="B114" s="112" t="s">
        <v>3</v>
      </c>
      <c r="C114" s="134">
        <v>4433723.1100000003</v>
      </c>
      <c r="D114" s="134">
        <v>5723244.54</v>
      </c>
      <c r="E114" s="134"/>
      <c r="F114" s="112" t="s">
        <v>3</v>
      </c>
      <c r="G114" s="134">
        <v>870210.68</v>
      </c>
      <c r="H114" s="134">
        <v>8431295.5600000005</v>
      </c>
      <c r="I114" s="134"/>
    </row>
    <row r="115" spans="2:9">
      <c r="B115" s="112" t="s">
        <v>226</v>
      </c>
      <c r="C115" s="134">
        <v>569676.97</v>
      </c>
      <c r="D115" s="134">
        <v>-569676.97</v>
      </c>
      <c r="E115" s="134"/>
      <c r="F115" s="112" t="s">
        <v>226</v>
      </c>
      <c r="G115" s="134">
        <v>319898.40000000002</v>
      </c>
      <c r="H115" s="134">
        <v>-319898.40000000002</v>
      </c>
      <c r="I115" s="134"/>
    </row>
    <row r="116" spans="2:9">
      <c r="B116" s="112" t="s">
        <v>141</v>
      </c>
      <c r="C116" s="134">
        <v>2073389.01</v>
      </c>
      <c r="D116" s="134">
        <v>4765629.45</v>
      </c>
      <c r="E116" s="134"/>
      <c r="F116" s="112" t="s">
        <v>141</v>
      </c>
      <c r="G116" s="134">
        <v>1188477.17</v>
      </c>
      <c r="H116" s="134">
        <v>4569224.2300000004</v>
      </c>
      <c r="I116" s="134"/>
    </row>
    <row r="117" spans="2:9">
      <c r="B117" s="112" t="s">
        <v>227</v>
      </c>
      <c r="C117" s="134">
        <v>3177962</v>
      </c>
      <c r="D117" s="134">
        <v>-2900439.5</v>
      </c>
      <c r="E117" s="134"/>
      <c r="F117" s="112" t="s">
        <v>227</v>
      </c>
      <c r="G117" s="134">
        <v>1171473.5</v>
      </c>
      <c r="H117" s="134">
        <v>-1103858</v>
      </c>
      <c r="I117" s="134"/>
    </row>
    <row r="118" spans="2:9">
      <c r="B118" s="112" t="s">
        <v>17</v>
      </c>
      <c r="C118" s="134">
        <v>40546215.289999999</v>
      </c>
      <c r="D118" s="134">
        <v>-3763615.23</v>
      </c>
      <c r="E118" s="134"/>
      <c r="F118" s="112" t="s">
        <v>17</v>
      </c>
      <c r="G118" s="134">
        <v>50591172.57</v>
      </c>
      <c r="H118" s="134">
        <v>-16709531.630000001</v>
      </c>
      <c r="I118" s="134"/>
    </row>
    <row r="119" spans="2:9">
      <c r="B119" s="112" t="s">
        <v>228</v>
      </c>
      <c r="C119" s="134">
        <v>1672404.46</v>
      </c>
      <c r="D119" s="134">
        <v>-1667203.7</v>
      </c>
      <c r="E119" s="134"/>
      <c r="F119" s="112" t="s">
        <v>228</v>
      </c>
      <c r="G119" s="134">
        <v>18778.900000000001</v>
      </c>
      <c r="H119" s="134">
        <v>-18778.900000000001</v>
      </c>
      <c r="I119" s="134"/>
    </row>
    <row r="120" spans="2:9">
      <c r="B120" s="112" t="s">
        <v>229</v>
      </c>
      <c r="C120" s="134">
        <v>626480.18999999994</v>
      </c>
      <c r="D120" s="134">
        <v>-94217.279999999897</v>
      </c>
      <c r="E120" s="134"/>
      <c r="F120" s="112" t="s">
        <v>229</v>
      </c>
      <c r="G120" s="134">
        <v>572892.19999999995</v>
      </c>
      <c r="H120" s="134">
        <v>-183365.59</v>
      </c>
      <c r="I120" s="134"/>
    </row>
    <row r="121" spans="2:9">
      <c r="B121" s="112" t="s">
        <v>116</v>
      </c>
      <c r="C121" s="134">
        <v>1452544.98</v>
      </c>
      <c r="D121" s="134">
        <v>680846.11</v>
      </c>
      <c r="E121" s="134"/>
      <c r="F121" s="112" t="s">
        <v>116</v>
      </c>
      <c r="G121" s="134">
        <v>1046610.86</v>
      </c>
      <c r="H121" s="134">
        <v>1789850.65</v>
      </c>
      <c r="I121" s="134"/>
    </row>
    <row r="122" spans="2:9">
      <c r="B122" s="112" t="s">
        <v>25</v>
      </c>
      <c r="C122" s="134">
        <v>64415.35</v>
      </c>
      <c r="D122" s="134" t="s">
        <v>193</v>
      </c>
      <c r="E122" s="134"/>
      <c r="F122" s="112" t="s">
        <v>25</v>
      </c>
      <c r="G122" s="134">
        <v>1499757.36</v>
      </c>
      <c r="H122" s="134" t="s">
        <v>193</v>
      </c>
      <c r="I122" s="134"/>
    </row>
    <row r="123" spans="2:9">
      <c r="B123" s="114"/>
      <c r="C123" s="142"/>
      <c r="D123" s="114"/>
      <c r="E123" s="114"/>
      <c r="F123" s="114"/>
      <c r="G123" s="114"/>
      <c r="H123" s="114"/>
      <c r="I123" s="134"/>
    </row>
    <row r="124" spans="2:9">
      <c r="B124" s="112"/>
      <c r="C124" s="134"/>
      <c r="D124" s="134"/>
      <c r="E124" s="134"/>
      <c r="F124" s="112"/>
      <c r="G124" s="134"/>
      <c r="H124" s="134"/>
      <c r="I124" s="134"/>
    </row>
    <row r="125" spans="2:9" ht="12.75" customHeight="1">
      <c r="B125" s="169"/>
      <c r="C125" s="170"/>
      <c r="D125" s="170"/>
      <c r="E125" s="170"/>
      <c r="F125" s="171"/>
      <c r="G125" s="170"/>
      <c r="H125" s="170"/>
      <c r="I125" s="170"/>
    </row>
    <row r="126" spans="2:9">
      <c r="B126" s="143"/>
      <c r="C126" s="143"/>
      <c r="D126" s="143"/>
    </row>
    <row r="127" spans="2:9">
      <c r="B127" s="111"/>
      <c r="C127" s="144">
        <v>2017</v>
      </c>
      <c r="D127" s="144">
        <v>2016</v>
      </c>
    </row>
    <row r="128" spans="2:9">
      <c r="B128" s="111"/>
      <c r="C128" s="111" t="s">
        <v>233</v>
      </c>
      <c r="D128" s="111" t="s">
        <v>233</v>
      </c>
    </row>
    <row r="129" spans="2:16">
      <c r="B129" s="145" t="s">
        <v>231</v>
      </c>
      <c r="C129" s="134">
        <v>1362.4289000000001</v>
      </c>
      <c r="D129" s="134">
        <v>1271.0188000000001</v>
      </c>
    </row>
    <row r="130" spans="2:16">
      <c r="B130" s="145" t="s">
        <v>141</v>
      </c>
      <c r="C130" s="134">
        <v>207.955637</v>
      </c>
      <c r="D130" s="134">
        <v>232.22000600000001</v>
      </c>
    </row>
    <row r="131" spans="2:16">
      <c r="B131" s="145" t="s">
        <v>3</v>
      </c>
      <c r="C131" s="134">
        <v>419.80669999999998</v>
      </c>
      <c r="D131" s="134">
        <v>383.15370000000001</v>
      </c>
    </row>
    <row r="132" spans="2:16">
      <c r="B132" s="145" t="s">
        <v>142</v>
      </c>
      <c r="C132" s="134">
        <v>175.14840000000001</v>
      </c>
      <c r="D132" s="134">
        <v>164.18209999999999</v>
      </c>
    </row>
    <row r="133" spans="2:16">
      <c r="B133" s="146" t="s">
        <v>232</v>
      </c>
      <c r="C133" s="147">
        <v>76.974800000000002</v>
      </c>
      <c r="D133" s="147">
        <v>102.8627</v>
      </c>
    </row>
    <row r="135" spans="2:16">
      <c r="B135" s="109" t="s">
        <v>153</v>
      </c>
    </row>
    <row r="136" spans="2:16">
      <c r="B136" s="144"/>
      <c r="C136" s="144" t="s">
        <v>32</v>
      </c>
      <c r="D136" s="144" t="s">
        <v>124</v>
      </c>
      <c r="E136" s="144" t="s">
        <v>124</v>
      </c>
      <c r="F136" s="144" t="s">
        <v>124</v>
      </c>
      <c r="G136" s="144" t="s">
        <v>124</v>
      </c>
      <c r="H136" s="144" t="s">
        <v>124</v>
      </c>
      <c r="I136" s="144" t="s">
        <v>124</v>
      </c>
      <c r="J136" s="144" t="s">
        <v>124</v>
      </c>
      <c r="K136" s="144" t="s">
        <v>124</v>
      </c>
      <c r="L136" s="144" t="s">
        <v>124</v>
      </c>
      <c r="M136" s="144" t="s">
        <v>124</v>
      </c>
      <c r="N136" s="144" t="s">
        <v>124</v>
      </c>
      <c r="O136" s="144" t="s">
        <v>124</v>
      </c>
      <c r="P136" s="144" t="s">
        <v>124</v>
      </c>
    </row>
    <row r="137" spans="2:16">
      <c r="B137" s="144"/>
      <c r="C137" s="144" t="s">
        <v>121</v>
      </c>
      <c r="D137" s="144" t="s">
        <v>208</v>
      </c>
      <c r="E137" s="144" t="s">
        <v>209</v>
      </c>
      <c r="F137" s="144" t="s">
        <v>210</v>
      </c>
      <c r="G137" s="144" t="s">
        <v>211</v>
      </c>
      <c r="H137" s="144" t="s">
        <v>212</v>
      </c>
      <c r="I137" s="144" t="s">
        <v>213</v>
      </c>
      <c r="J137" s="144" t="s">
        <v>214</v>
      </c>
      <c r="K137" s="144" t="s">
        <v>215</v>
      </c>
      <c r="L137" s="144" t="s">
        <v>216</v>
      </c>
      <c r="M137" s="144" t="s">
        <v>103</v>
      </c>
      <c r="N137" s="144" t="s">
        <v>217</v>
      </c>
      <c r="O137" s="144" t="s">
        <v>218</v>
      </c>
      <c r="P137" s="144" t="s">
        <v>219</v>
      </c>
    </row>
    <row r="138" spans="2:16">
      <c r="B138" s="144" t="s">
        <v>125</v>
      </c>
      <c r="C138" s="144" t="s">
        <v>126</v>
      </c>
      <c r="D138" s="144" t="s">
        <v>7</v>
      </c>
      <c r="E138" s="144" t="s">
        <v>8</v>
      </c>
      <c r="F138" s="144" t="s">
        <v>7</v>
      </c>
      <c r="G138" s="144" t="s">
        <v>9</v>
      </c>
      <c r="H138" s="144" t="s">
        <v>9</v>
      </c>
      <c r="I138" s="144" t="s">
        <v>8</v>
      </c>
      <c r="J138" s="144" t="s">
        <v>10</v>
      </c>
      <c r="K138" s="144" t="s">
        <v>11</v>
      </c>
      <c r="L138" s="144" t="s">
        <v>12</v>
      </c>
      <c r="M138" s="144" t="s">
        <v>13</v>
      </c>
      <c r="N138" s="144" t="s">
        <v>5</v>
      </c>
      <c r="O138" s="144" t="s">
        <v>6</v>
      </c>
      <c r="P138" s="144" t="s">
        <v>7</v>
      </c>
    </row>
    <row r="139" spans="2:16">
      <c r="B139" s="112" t="s">
        <v>234</v>
      </c>
      <c r="C139" s="112" t="s">
        <v>22</v>
      </c>
      <c r="D139" s="134">
        <v>3584.5</v>
      </c>
      <c r="E139" s="134">
        <v>1458</v>
      </c>
      <c r="F139" s="134">
        <v>8664.2000000000007</v>
      </c>
      <c r="G139" s="134">
        <v>0</v>
      </c>
      <c r="H139" s="134">
        <v>544</v>
      </c>
      <c r="I139" s="134">
        <v>0</v>
      </c>
      <c r="J139" s="134">
        <v>0</v>
      </c>
      <c r="K139" s="134">
        <v>0</v>
      </c>
      <c r="L139" s="134">
        <v>240</v>
      </c>
      <c r="M139" s="134">
        <v>1160</v>
      </c>
      <c r="N139" s="134">
        <v>0</v>
      </c>
      <c r="O139" s="134">
        <v>712.6</v>
      </c>
      <c r="P139" s="134">
        <v>1411.7</v>
      </c>
    </row>
    <row r="140" spans="2:16">
      <c r="B140" s="112" t="s">
        <v>234</v>
      </c>
      <c r="C140" s="112" t="s">
        <v>235</v>
      </c>
      <c r="D140" s="134">
        <v>426186</v>
      </c>
      <c r="E140" s="134">
        <v>456275.7</v>
      </c>
      <c r="F140" s="134">
        <v>418905</v>
      </c>
      <c r="G140" s="134">
        <v>206083.6</v>
      </c>
      <c r="H140" s="134">
        <v>157445</v>
      </c>
      <c r="I140" s="134">
        <v>238113.9</v>
      </c>
      <c r="J140" s="134">
        <v>177358.6</v>
      </c>
      <c r="K140" s="134">
        <v>91594.1</v>
      </c>
      <c r="L140" s="134">
        <v>76065.2</v>
      </c>
      <c r="M140" s="134">
        <v>91091.6</v>
      </c>
      <c r="N140" s="134">
        <v>35729</v>
      </c>
      <c r="O140" s="134">
        <v>198516.2</v>
      </c>
      <c r="P140" s="134">
        <v>631868</v>
      </c>
    </row>
    <row r="141" spans="2:16">
      <c r="B141" s="112" t="s">
        <v>234</v>
      </c>
      <c r="C141" s="112" t="s">
        <v>26</v>
      </c>
      <c r="D141" s="134">
        <v>803574</v>
      </c>
      <c r="E141" s="134">
        <v>709097</v>
      </c>
      <c r="F141" s="134">
        <v>894330.4</v>
      </c>
      <c r="G141" s="134">
        <v>917663.8</v>
      </c>
      <c r="H141" s="134">
        <v>927968.4</v>
      </c>
      <c r="I141" s="134">
        <v>928531.9</v>
      </c>
      <c r="J141" s="134">
        <v>907062.2</v>
      </c>
      <c r="K141" s="134">
        <v>657310.6</v>
      </c>
      <c r="L141" s="134">
        <v>577468</v>
      </c>
      <c r="M141" s="134">
        <v>640964.5</v>
      </c>
      <c r="N141" s="134">
        <v>696156.2</v>
      </c>
      <c r="O141" s="134">
        <v>665095.19999999995</v>
      </c>
      <c r="P141" s="134">
        <v>670791.6</v>
      </c>
    </row>
    <row r="142" spans="2:16">
      <c r="B142" s="112" t="s">
        <v>234</v>
      </c>
      <c r="C142" s="112" t="s">
        <v>236</v>
      </c>
      <c r="D142" s="134">
        <v>18068.099999999999</v>
      </c>
      <c r="E142" s="134">
        <v>1030.5</v>
      </c>
      <c r="F142" s="134">
        <v>0</v>
      </c>
      <c r="G142" s="134">
        <v>0</v>
      </c>
      <c r="H142" s="134">
        <v>0</v>
      </c>
      <c r="I142" s="134">
        <v>0</v>
      </c>
      <c r="J142" s="134">
        <v>0</v>
      </c>
      <c r="K142" s="134">
        <v>0</v>
      </c>
      <c r="L142" s="134">
        <v>0</v>
      </c>
      <c r="M142" s="134">
        <v>0</v>
      </c>
      <c r="N142" s="134">
        <v>0</v>
      </c>
      <c r="O142" s="134">
        <v>0</v>
      </c>
      <c r="P142" s="134">
        <v>0</v>
      </c>
    </row>
    <row r="143" spans="2:16">
      <c r="B143" s="112" t="s">
        <v>234</v>
      </c>
      <c r="C143" s="112" t="s">
        <v>237</v>
      </c>
      <c r="D143" s="134">
        <v>0</v>
      </c>
      <c r="E143" s="134">
        <v>200</v>
      </c>
      <c r="F143" s="134">
        <v>0</v>
      </c>
      <c r="G143" s="134">
        <v>1217</v>
      </c>
      <c r="H143" s="134">
        <v>7584</v>
      </c>
      <c r="I143" s="134">
        <v>7932.8</v>
      </c>
      <c r="J143" s="134">
        <v>0</v>
      </c>
      <c r="K143" s="134">
        <v>23959.3</v>
      </c>
      <c r="L143" s="134">
        <v>0</v>
      </c>
      <c r="M143" s="134">
        <v>0</v>
      </c>
      <c r="N143" s="134">
        <v>0</v>
      </c>
      <c r="O143" s="134">
        <v>139.6</v>
      </c>
      <c r="P143" s="134">
        <v>13667.9</v>
      </c>
    </row>
    <row r="144" spans="2:16">
      <c r="B144" s="112" t="s">
        <v>234</v>
      </c>
      <c r="C144" s="112" t="s">
        <v>0</v>
      </c>
      <c r="D144" s="134">
        <v>1251412.6000000001</v>
      </c>
      <c r="E144" s="134">
        <v>1168061.2</v>
      </c>
      <c r="F144" s="134">
        <v>1321899.6000000001</v>
      </c>
      <c r="G144" s="134">
        <v>1124964.3999999999</v>
      </c>
      <c r="H144" s="134">
        <v>1093541.3999999999</v>
      </c>
      <c r="I144" s="134">
        <v>1174578.6000000001</v>
      </c>
      <c r="J144" s="134">
        <v>1084420.8</v>
      </c>
      <c r="K144" s="134">
        <v>772864</v>
      </c>
      <c r="L144" s="134">
        <v>653773.19999999995</v>
      </c>
      <c r="M144" s="134">
        <v>733216.1</v>
      </c>
      <c r="N144" s="134">
        <v>731885.2</v>
      </c>
      <c r="O144" s="134">
        <v>864463.6</v>
      </c>
      <c r="P144" s="134">
        <v>1317739.2</v>
      </c>
    </row>
    <row r="145" spans="2:16">
      <c r="B145" s="112" t="s">
        <v>238</v>
      </c>
      <c r="C145" s="112" t="s">
        <v>22</v>
      </c>
      <c r="D145" s="134">
        <v>-3610.7</v>
      </c>
      <c r="E145" s="134">
        <v>-1534.6</v>
      </c>
      <c r="F145" s="134">
        <v>-1360.8</v>
      </c>
      <c r="G145" s="134">
        <v>-921.3</v>
      </c>
      <c r="H145" s="134">
        <v>0</v>
      </c>
      <c r="I145" s="134">
        <v>-2865.3</v>
      </c>
      <c r="J145" s="134">
        <v>-3920</v>
      </c>
      <c r="K145" s="134">
        <v>-24</v>
      </c>
      <c r="L145" s="134">
        <v>0</v>
      </c>
      <c r="M145" s="134">
        <v>-1009.1</v>
      </c>
      <c r="N145" s="134">
        <v>0</v>
      </c>
      <c r="O145" s="134">
        <v>-1026.5</v>
      </c>
      <c r="P145" s="134">
        <v>-623</v>
      </c>
    </row>
    <row r="146" spans="2:16">
      <c r="B146" s="112" t="s">
        <v>238</v>
      </c>
      <c r="C146" s="112" t="s">
        <v>239</v>
      </c>
      <c r="D146" s="134">
        <v>-829.1</v>
      </c>
      <c r="E146" s="134">
        <v>-135</v>
      </c>
      <c r="F146" s="134">
        <v>-18605.400000000001</v>
      </c>
      <c r="G146" s="134">
        <v>-366.7</v>
      </c>
      <c r="H146" s="134">
        <v>0</v>
      </c>
      <c r="I146" s="134">
        <v>0</v>
      </c>
      <c r="J146" s="134">
        <v>0</v>
      </c>
      <c r="K146" s="134">
        <v>-856</v>
      </c>
      <c r="L146" s="134">
        <v>0</v>
      </c>
      <c r="M146" s="134">
        <v>0</v>
      </c>
      <c r="N146" s="134">
        <v>-2763.2</v>
      </c>
      <c r="O146" s="134">
        <v>-6933.6</v>
      </c>
      <c r="P146" s="134">
        <v>-755.1</v>
      </c>
    </row>
    <row r="147" spans="2:16">
      <c r="B147" s="112" t="s">
        <v>238</v>
      </c>
      <c r="C147" s="112" t="s">
        <v>235</v>
      </c>
      <c r="D147" s="134">
        <v>0</v>
      </c>
      <c r="E147" s="134">
        <v>0</v>
      </c>
      <c r="F147" s="134">
        <v>0</v>
      </c>
      <c r="G147" s="134">
        <v>-294</v>
      </c>
      <c r="H147" s="134">
        <v>-11178.1</v>
      </c>
      <c r="I147" s="134">
        <v>-4145.2</v>
      </c>
      <c r="J147" s="134">
        <v>-2530</v>
      </c>
      <c r="K147" s="134">
        <v>-15307.2</v>
      </c>
      <c r="L147" s="134">
        <v>-2438</v>
      </c>
      <c r="M147" s="134">
        <v>0</v>
      </c>
      <c r="N147" s="134">
        <v>0</v>
      </c>
      <c r="O147" s="134">
        <v>-58033.7</v>
      </c>
      <c r="P147" s="134">
        <v>-20255.7</v>
      </c>
    </row>
    <row r="148" spans="2:16">
      <c r="B148" s="112" t="s">
        <v>238</v>
      </c>
      <c r="C148" s="112" t="s">
        <v>26</v>
      </c>
      <c r="D148" s="134">
        <v>0</v>
      </c>
      <c r="E148" s="134">
        <v>0</v>
      </c>
      <c r="F148" s="134">
        <v>0</v>
      </c>
      <c r="G148" s="134">
        <v>-4100.8</v>
      </c>
      <c r="H148" s="134">
        <v>0</v>
      </c>
      <c r="I148" s="134">
        <v>0</v>
      </c>
      <c r="J148" s="134">
        <v>0</v>
      </c>
      <c r="K148" s="134">
        <v>-30295.599999999999</v>
      </c>
      <c r="L148" s="134">
        <v>-3386</v>
      </c>
      <c r="M148" s="134">
        <v>0</v>
      </c>
      <c r="N148" s="134">
        <v>-400</v>
      </c>
      <c r="O148" s="134">
        <v>0</v>
      </c>
      <c r="P148" s="134">
        <v>-17094</v>
      </c>
    </row>
    <row r="149" spans="2:16">
      <c r="B149" s="112" t="s">
        <v>238</v>
      </c>
      <c r="C149" s="112" t="s">
        <v>240</v>
      </c>
      <c r="D149" s="134">
        <v>-14998.4</v>
      </c>
      <c r="E149" s="134">
        <v>-5477.7</v>
      </c>
      <c r="F149" s="134">
        <v>-822</v>
      </c>
      <c r="G149" s="134">
        <v>-2338.3000000000002</v>
      </c>
      <c r="H149" s="134">
        <v>-16656.7</v>
      </c>
      <c r="I149" s="134">
        <v>-11379.4</v>
      </c>
      <c r="J149" s="134">
        <v>-2970.9</v>
      </c>
      <c r="K149" s="134">
        <v>-607.6</v>
      </c>
      <c r="L149" s="134">
        <v>-274</v>
      </c>
      <c r="M149" s="134">
        <v>0</v>
      </c>
      <c r="N149" s="134">
        <v>0</v>
      </c>
      <c r="O149" s="134">
        <v>-988.1</v>
      </c>
      <c r="P149" s="134">
        <v>-5344.3</v>
      </c>
    </row>
    <row r="150" spans="2:16">
      <c r="B150" s="112" t="s">
        <v>238</v>
      </c>
      <c r="C150" s="112" t="s">
        <v>241</v>
      </c>
      <c r="D150" s="134">
        <v>0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-95.9</v>
      </c>
      <c r="K150" s="134">
        <v>0</v>
      </c>
      <c r="L150" s="134">
        <v>0</v>
      </c>
      <c r="M150" s="134">
        <v>0</v>
      </c>
      <c r="N150" s="134">
        <v>0</v>
      </c>
      <c r="O150" s="134">
        <v>-57.8</v>
      </c>
      <c r="P150" s="134">
        <v>0</v>
      </c>
    </row>
    <row r="151" spans="2:16">
      <c r="B151" s="112" t="s">
        <v>238</v>
      </c>
      <c r="C151" s="112" t="s">
        <v>242</v>
      </c>
      <c r="D151" s="134">
        <v>-168</v>
      </c>
      <c r="E151" s="134">
        <v>0</v>
      </c>
      <c r="F151" s="134">
        <v>-899</v>
      </c>
      <c r="G151" s="134">
        <v>-4944.8999999999996</v>
      </c>
      <c r="H151" s="134">
        <v>0</v>
      </c>
      <c r="I151" s="134">
        <v>0</v>
      </c>
      <c r="J151" s="134">
        <v>0</v>
      </c>
      <c r="K151" s="134">
        <v>0</v>
      </c>
      <c r="L151" s="134">
        <v>-117.8</v>
      </c>
      <c r="M151" s="134">
        <v>-2368.1</v>
      </c>
      <c r="N151" s="134">
        <v>0</v>
      </c>
      <c r="O151" s="134">
        <v>0</v>
      </c>
      <c r="P151" s="134">
        <v>-617.6</v>
      </c>
    </row>
    <row r="152" spans="2:16">
      <c r="B152" s="112" t="s">
        <v>238</v>
      </c>
      <c r="C152" s="112" t="s">
        <v>243</v>
      </c>
      <c r="D152" s="134">
        <v>0</v>
      </c>
      <c r="E152" s="134">
        <v>0</v>
      </c>
      <c r="F152" s="134">
        <v>0</v>
      </c>
      <c r="G152" s="134">
        <v>0</v>
      </c>
      <c r="H152" s="134">
        <v>-91.5</v>
      </c>
      <c r="I152" s="134">
        <v>0</v>
      </c>
      <c r="J152" s="134">
        <v>0</v>
      </c>
      <c r="K152" s="134">
        <v>0</v>
      </c>
      <c r="L152" s="134">
        <v>0</v>
      </c>
      <c r="M152" s="134">
        <v>0</v>
      </c>
      <c r="N152" s="134">
        <v>0</v>
      </c>
      <c r="O152" s="134">
        <v>0</v>
      </c>
      <c r="P152" s="134">
        <v>0</v>
      </c>
    </row>
    <row r="153" spans="2:16">
      <c r="B153" s="112" t="s">
        <v>238</v>
      </c>
      <c r="C153" s="112" t="s">
        <v>0</v>
      </c>
      <c r="D153" s="134">
        <v>-19606.2</v>
      </c>
      <c r="E153" s="134">
        <v>-7147.2999999999993</v>
      </c>
      <c r="F153" s="134">
        <v>-21687.200000000001</v>
      </c>
      <c r="G153" s="134">
        <v>-12966</v>
      </c>
      <c r="H153" s="134">
        <v>-27926.3</v>
      </c>
      <c r="I153" s="134">
        <v>-18389.900000000001</v>
      </c>
      <c r="J153" s="134">
        <v>-9516.7999999999993</v>
      </c>
      <c r="K153" s="134">
        <v>-47090.400000000001</v>
      </c>
      <c r="L153" s="134">
        <v>-6215.8</v>
      </c>
      <c r="M153" s="134">
        <v>-3377.2</v>
      </c>
      <c r="N153" s="134">
        <v>-3163.2</v>
      </c>
      <c r="O153" s="134">
        <v>-67039.700000000012</v>
      </c>
      <c r="P153" s="134">
        <v>-44689.7</v>
      </c>
    </row>
    <row r="154" spans="2:16">
      <c r="B154" s="112"/>
      <c r="C154" s="112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</row>
    <row r="155" spans="2:16">
      <c r="B155" s="112"/>
      <c r="C155" s="112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</row>
    <row r="156" spans="2:16">
      <c r="B156" s="112"/>
      <c r="C156" s="112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/>
      <c r="P156" s="134"/>
    </row>
    <row r="157" spans="2:16">
      <c r="B157" s="112"/>
      <c r="C157" s="112"/>
      <c r="D157" s="134">
        <v>73.176705916200007</v>
      </c>
      <c r="E157" s="134">
        <v>65.421445049300004</v>
      </c>
      <c r="F157" s="134">
        <v>67.422804182700006</v>
      </c>
      <c r="G157" s="134">
        <v>69.294106506800006</v>
      </c>
      <c r="H157" s="134">
        <v>71.028984581700001</v>
      </c>
      <c r="I157" s="134">
        <v>74.006406740299994</v>
      </c>
      <c r="J157" s="134">
        <v>79.845896002700002</v>
      </c>
      <c r="K157" s="134">
        <v>102.1739283237</v>
      </c>
      <c r="L157" s="134">
        <v>80.507212944800003</v>
      </c>
      <c r="M157" s="134">
        <v>89.322719495699999</v>
      </c>
      <c r="N157" s="134">
        <v>114.12251594919999</v>
      </c>
      <c r="O157" s="134">
        <v>92.084451201899995</v>
      </c>
      <c r="P157" s="134">
        <v>76.440865089200003</v>
      </c>
    </row>
    <row r="158" spans="2:16">
      <c r="B158" s="114"/>
      <c r="C158" s="114"/>
      <c r="D158" s="147">
        <v>28.641727106699999</v>
      </c>
      <c r="E158" s="147">
        <v>24.032852965499998</v>
      </c>
      <c r="F158" s="147">
        <v>35.6660431038</v>
      </c>
      <c r="G158" s="147">
        <v>40.179360635499997</v>
      </c>
      <c r="H158" s="147">
        <v>42.7033473822</v>
      </c>
      <c r="I158" s="147">
        <v>41.243095938499998</v>
      </c>
      <c r="J158" s="147">
        <v>45.042061407200002</v>
      </c>
      <c r="K158" s="147">
        <v>59.241832602499997</v>
      </c>
      <c r="L158" s="147">
        <v>66.158074584100007</v>
      </c>
      <c r="M158" s="147">
        <v>63.3943088949</v>
      </c>
      <c r="N158" s="147">
        <v>87.216925897799996</v>
      </c>
      <c r="O158" s="147">
        <v>59.043409800500001</v>
      </c>
      <c r="P158" s="147">
        <v>45.244610503099999</v>
      </c>
    </row>
    <row r="159" spans="2:16"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</row>
    <row r="160" spans="2:16">
      <c r="B160" s="117"/>
      <c r="C160" s="112"/>
      <c r="D160" s="112"/>
      <c r="E160" s="112" t="s">
        <v>86</v>
      </c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</row>
    <row r="161" spans="2:16">
      <c r="B161" s="117"/>
      <c r="C161" s="112" t="s">
        <v>78</v>
      </c>
      <c r="D161" s="112"/>
      <c r="E161" s="175">
        <f>(P144-D144)/D144</f>
        <v>5.3001384195747951E-2</v>
      </c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</row>
    <row r="162" spans="2:16">
      <c r="B162" s="117"/>
      <c r="C162" s="112" t="s">
        <v>79</v>
      </c>
      <c r="D162" s="112"/>
      <c r="E162" s="175">
        <f>(P153-D153)/D153</f>
        <v>1.2793657108465688</v>
      </c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</row>
    <row r="163" spans="2:16">
      <c r="B163" s="117"/>
      <c r="C163" s="112" t="s">
        <v>80</v>
      </c>
      <c r="D163" s="112"/>
      <c r="E163" s="175">
        <f>((P144+P153)-(D144+D153))/(D144+D153)</f>
        <v>3.3481803634077448E-2</v>
      </c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</row>
    <row r="164" spans="2:16">
      <c r="B164" s="117"/>
      <c r="C164" s="112" t="s">
        <v>81</v>
      </c>
      <c r="D164" s="112"/>
      <c r="E164" s="175">
        <f>(P157-D157)/D157</f>
        <v>4.4606533351446882E-2</v>
      </c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</row>
    <row r="165" spans="2:16">
      <c r="B165" s="117"/>
      <c r="C165" s="112" t="s">
        <v>82</v>
      </c>
      <c r="D165" s="112"/>
      <c r="E165" s="175">
        <f>(P158-D158)/D158</f>
        <v>0.57967465909261384</v>
      </c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</row>
  </sheetData>
  <mergeCells count="16">
    <mergeCell ref="G60:G61"/>
    <mergeCell ref="H60:H61"/>
    <mergeCell ref="I60:I61"/>
    <mergeCell ref="J60:J61"/>
    <mergeCell ref="C60:C61"/>
    <mergeCell ref="D60:D61"/>
    <mergeCell ref="E60:E61"/>
    <mergeCell ref="F60:F61"/>
    <mergeCell ref="G43:G44"/>
    <mergeCell ref="H43:H44"/>
    <mergeCell ref="I43:I44"/>
    <mergeCell ref="J43:J44"/>
    <mergeCell ref="C43:C44"/>
    <mergeCell ref="D43:D44"/>
    <mergeCell ref="E43:E44"/>
    <mergeCell ref="F43:F4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T177"/>
  <sheetViews>
    <sheetView showGridLines="0" showRowColHeaders="0" topLeftCell="A115" workbookViewId="0">
      <selection activeCell="S147" sqref="S147"/>
    </sheetView>
  </sheetViews>
  <sheetFormatPr baseColWidth="10" defaultRowHeight="12.75"/>
  <cols>
    <col min="1" max="1" width="11.42578125" style="110"/>
    <col min="2" max="2" width="23.42578125" style="110" bestFit="1" customWidth="1"/>
    <col min="3" max="3" width="19.28515625" style="110" bestFit="1" customWidth="1"/>
    <col min="4" max="16384" width="11.42578125" style="110"/>
  </cols>
  <sheetData>
    <row r="2" spans="2:15">
      <c r="B2" s="109" t="s">
        <v>154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2:15">
      <c r="B3" s="111" t="s">
        <v>7</v>
      </c>
      <c r="C3" s="111" t="s">
        <v>8</v>
      </c>
      <c r="D3" s="111" t="s">
        <v>7</v>
      </c>
      <c r="E3" s="111" t="s">
        <v>9</v>
      </c>
      <c r="F3" s="111" t="s">
        <v>9</v>
      </c>
      <c r="G3" s="111" t="s">
        <v>8</v>
      </c>
      <c r="H3" s="111" t="s">
        <v>10</v>
      </c>
      <c r="I3" s="111" t="s">
        <v>11</v>
      </c>
      <c r="J3" s="111" t="s">
        <v>12</v>
      </c>
      <c r="K3" s="111" t="s">
        <v>13</v>
      </c>
      <c r="L3" s="111" t="s">
        <v>5</v>
      </c>
      <c r="M3" s="111" t="s">
        <v>6</v>
      </c>
      <c r="N3" s="111" t="s">
        <v>7</v>
      </c>
      <c r="O3" s="111"/>
    </row>
    <row r="4" spans="2:15">
      <c r="B4" s="109" t="s">
        <v>121</v>
      </c>
      <c r="C4" s="109" t="s">
        <v>208</v>
      </c>
      <c r="D4" s="109" t="s">
        <v>209</v>
      </c>
      <c r="E4" s="109" t="s">
        <v>210</v>
      </c>
      <c r="F4" s="109" t="s">
        <v>211</v>
      </c>
      <c r="G4" s="109" t="s">
        <v>212</v>
      </c>
      <c r="H4" s="109" t="s">
        <v>213</v>
      </c>
      <c r="I4" s="109" t="s">
        <v>214</v>
      </c>
      <c r="J4" s="109" t="s">
        <v>215</v>
      </c>
      <c r="K4" s="109" t="s">
        <v>216</v>
      </c>
      <c r="L4" s="109" t="s">
        <v>103</v>
      </c>
      <c r="M4" s="109" t="s">
        <v>217</v>
      </c>
      <c r="N4" s="109" t="s">
        <v>218</v>
      </c>
      <c r="O4" s="109" t="s">
        <v>219</v>
      </c>
    </row>
    <row r="5" spans="2:15">
      <c r="B5" s="111" t="s">
        <v>32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2:15">
      <c r="B6" s="112" t="s">
        <v>127</v>
      </c>
      <c r="C6" s="113">
        <v>685.40646029610002</v>
      </c>
      <c r="D6" s="113">
        <v>677.2152777778</v>
      </c>
      <c r="E6" s="113">
        <v>666.32795698919995</v>
      </c>
      <c r="F6" s="113">
        <v>664.29166666670005</v>
      </c>
      <c r="G6" s="113">
        <v>686.78763440859996</v>
      </c>
      <c r="H6" s="113">
        <v>694.56048387099997</v>
      </c>
      <c r="I6" s="113">
        <v>691.88888888890006</v>
      </c>
      <c r="J6" s="113">
        <v>669.59060402679995</v>
      </c>
      <c r="K6" s="113">
        <v>686.04444444440003</v>
      </c>
      <c r="L6" s="113">
        <v>698.83602150540003</v>
      </c>
      <c r="M6" s="113">
        <v>712.52016129030005</v>
      </c>
      <c r="N6" s="113">
        <v>690.06696428570001</v>
      </c>
      <c r="O6" s="113">
        <v>679.79004037690004</v>
      </c>
    </row>
    <row r="7" spans="2:15">
      <c r="B7" s="112" t="s">
        <v>128</v>
      </c>
      <c r="C7" s="113">
        <v>516.16419919249995</v>
      </c>
      <c r="D7" s="113">
        <v>505.7013888889</v>
      </c>
      <c r="E7" s="113">
        <v>499.50134408600002</v>
      </c>
      <c r="F7" s="113">
        <v>497.6458333333</v>
      </c>
      <c r="G7" s="113">
        <v>513.09139784950003</v>
      </c>
      <c r="H7" s="113">
        <v>509.94758064519999</v>
      </c>
      <c r="I7" s="113">
        <v>514.5902777778</v>
      </c>
      <c r="J7" s="113">
        <v>502.7570469799</v>
      </c>
      <c r="K7" s="113">
        <v>509.3888888889</v>
      </c>
      <c r="L7" s="113">
        <v>515.34946236559995</v>
      </c>
      <c r="M7" s="113">
        <v>520.03225806449996</v>
      </c>
      <c r="N7" s="113">
        <v>516.89732142859998</v>
      </c>
      <c r="O7" s="113">
        <v>513.60969044410001</v>
      </c>
    </row>
    <row r="8" spans="2:15">
      <c r="B8" s="114" t="s">
        <v>129</v>
      </c>
      <c r="C8" s="115">
        <v>22.0125371233</v>
      </c>
      <c r="D8" s="115">
        <v>18.950403146599999</v>
      </c>
      <c r="E8" s="115">
        <v>18.616068699100001</v>
      </c>
      <c r="F8" s="115">
        <v>11.4989193337</v>
      </c>
      <c r="G8" s="115">
        <v>11.051812032999999</v>
      </c>
      <c r="H8" s="115">
        <v>10.705185459200001</v>
      </c>
      <c r="I8" s="115">
        <v>8.6965031858999993</v>
      </c>
      <c r="J8" s="115">
        <v>10.667894227</v>
      </c>
      <c r="K8" s="115">
        <v>15.1275113394</v>
      </c>
      <c r="L8" s="115">
        <v>13.988426286899999</v>
      </c>
      <c r="M8" s="115">
        <v>19.8404244623</v>
      </c>
      <c r="N8" s="115">
        <v>15.125065320299999</v>
      </c>
      <c r="O8" s="115">
        <v>11.5469110496</v>
      </c>
    </row>
    <row r="9" spans="2:15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2:15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8"/>
    </row>
    <row r="11" spans="2:15">
      <c r="B11" s="112"/>
      <c r="C11" s="112" t="s">
        <v>85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</row>
    <row r="12" spans="2:15">
      <c r="B12" s="112" t="s">
        <v>67</v>
      </c>
      <c r="C12" s="175">
        <f>(O6-C6)/C6</f>
        <v>-8.1942908982411029E-3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2:15">
      <c r="B13" s="112" t="s">
        <v>15</v>
      </c>
      <c r="C13" s="175">
        <f>(O8-C8)/C8</f>
        <v>-0.47543933782272935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2:1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2:15">
      <c r="B15" s="109" t="s">
        <v>140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2:15">
      <c r="B16" s="111" t="s">
        <v>130</v>
      </c>
      <c r="C16" s="120">
        <v>2016</v>
      </c>
      <c r="D16" s="120">
        <v>2016</v>
      </c>
      <c r="E16" s="120">
        <v>2016</v>
      </c>
      <c r="F16" s="120">
        <v>2016</v>
      </c>
      <c r="G16" s="120">
        <v>2016</v>
      </c>
      <c r="H16" s="120">
        <v>2016</v>
      </c>
      <c r="I16" s="120">
        <v>2016</v>
      </c>
      <c r="J16" s="120">
        <v>2016</v>
      </c>
      <c r="K16" s="120">
        <v>2016</v>
      </c>
      <c r="L16" s="120">
        <v>2016</v>
      </c>
      <c r="M16" s="120">
        <v>2017</v>
      </c>
      <c r="N16" s="120">
        <v>2017</v>
      </c>
      <c r="O16" s="120">
        <v>2017</v>
      </c>
    </row>
    <row r="17" spans="2:20">
      <c r="B17" s="109" t="s">
        <v>121</v>
      </c>
      <c r="C17" s="109" t="s">
        <v>208</v>
      </c>
      <c r="D17" s="109" t="s">
        <v>209</v>
      </c>
      <c r="E17" s="109" t="s">
        <v>210</v>
      </c>
      <c r="F17" s="109" t="s">
        <v>211</v>
      </c>
      <c r="G17" s="109" t="s">
        <v>212</v>
      </c>
      <c r="H17" s="109" t="s">
        <v>213</v>
      </c>
      <c r="I17" s="109" t="s">
        <v>214</v>
      </c>
      <c r="J17" s="109" t="s">
        <v>215</v>
      </c>
      <c r="K17" s="109" t="s">
        <v>216</v>
      </c>
      <c r="L17" s="109" t="s">
        <v>103</v>
      </c>
      <c r="M17" s="109" t="s">
        <v>217</v>
      </c>
      <c r="N17" s="109" t="s">
        <v>218</v>
      </c>
      <c r="O17" s="109" t="s">
        <v>219</v>
      </c>
    </row>
    <row r="18" spans="2:20">
      <c r="B18" s="111" t="s">
        <v>32</v>
      </c>
      <c r="C18" s="111" t="s">
        <v>7</v>
      </c>
      <c r="D18" s="111" t="s">
        <v>8</v>
      </c>
      <c r="E18" s="111" t="s">
        <v>7</v>
      </c>
      <c r="F18" s="111" t="s">
        <v>9</v>
      </c>
      <c r="G18" s="111" t="s">
        <v>9</v>
      </c>
      <c r="H18" s="111" t="s">
        <v>8</v>
      </c>
      <c r="I18" s="111" t="s">
        <v>10</v>
      </c>
      <c r="J18" s="111" t="s">
        <v>11</v>
      </c>
      <c r="K18" s="111" t="s">
        <v>12</v>
      </c>
      <c r="L18" s="111" t="s">
        <v>13</v>
      </c>
      <c r="M18" s="111" t="s">
        <v>5</v>
      </c>
      <c r="N18" s="111" t="s">
        <v>6</v>
      </c>
      <c r="O18" s="111" t="s">
        <v>7</v>
      </c>
    </row>
    <row r="19" spans="2:20">
      <c r="B19" s="112" t="s">
        <v>131</v>
      </c>
      <c r="C19" s="113">
        <v>162.74266900000001</v>
      </c>
      <c r="D19" s="113">
        <v>158.010876</v>
      </c>
      <c r="E19" s="113">
        <v>182.30528000000001</v>
      </c>
      <c r="F19" s="113">
        <v>127.443428</v>
      </c>
      <c r="G19" s="113">
        <v>94.842940999999996</v>
      </c>
      <c r="H19" s="113">
        <v>101.251535</v>
      </c>
      <c r="I19" s="113">
        <v>95.450947999999997</v>
      </c>
      <c r="J19" s="113">
        <v>89.660353999999998</v>
      </c>
      <c r="K19" s="113">
        <v>103.079487</v>
      </c>
      <c r="L19" s="113">
        <v>111.652906</v>
      </c>
      <c r="M19" s="113">
        <v>114.09860500000001</v>
      </c>
      <c r="N19" s="113">
        <v>123.06359399999999</v>
      </c>
      <c r="O19" s="113">
        <v>142.87497500000001</v>
      </c>
    </row>
    <row r="20" spans="2:20">
      <c r="B20" s="114" t="s">
        <v>132</v>
      </c>
      <c r="C20" s="115">
        <v>69.477337000000006</v>
      </c>
      <c r="D20" s="115">
        <v>69.237797999999998</v>
      </c>
      <c r="E20" s="115">
        <v>57.735940999999997</v>
      </c>
      <c r="F20" s="115">
        <v>73.081980000000001</v>
      </c>
      <c r="G20" s="115">
        <v>91.860525999999993</v>
      </c>
      <c r="H20" s="115">
        <v>86.754802999999995</v>
      </c>
      <c r="I20" s="115">
        <v>97.600018000000006</v>
      </c>
      <c r="J20" s="115">
        <v>116.44212400000001</v>
      </c>
      <c r="K20" s="115">
        <v>105.77510700000001</v>
      </c>
      <c r="L20" s="115">
        <v>84.597136000000006</v>
      </c>
      <c r="M20" s="115">
        <v>108.041453</v>
      </c>
      <c r="N20" s="115">
        <v>65.058026999999996</v>
      </c>
      <c r="O20" s="115">
        <v>65.080662000000004</v>
      </c>
    </row>
    <row r="21" spans="2:20">
      <c r="B21" s="115"/>
      <c r="C21" s="115">
        <f t="shared" ref="C21:O21" si="0">-C20</f>
        <v>-69.477337000000006</v>
      </c>
      <c r="D21" s="115">
        <f t="shared" si="0"/>
        <v>-69.237797999999998</v>
      </c>
      <c r="E21" s="115">
        <f t="shared" si="0"/>
        <v>-57.735940999999997</v>
      </c>
      <c r="F21" s="115">
        <f t="shared" si="0"/>
        <v>-73.081980000000001</v>
      </c>
      <c r="G21" s="115">
        <f t="shared" si="0"/>
        <v>-91.860525999999993</v>
      </c>
      <c r="H21" s="115">
        <f t="shared" si="0"/>
        <v>-86.754802999999995</v>
      </c>
      <c r="I21" s="115">
        <f t="shared" si="0"/>
        <v>-97.600018000000006</v>
      </c>
      <c r="J21" s="115">
        <f t="shared" si="0"/>
        <v>-116.44212400000001</v>
      </c>
      <c r="K21" s="115">
        <f t="shared" si="0"/>
        <v>-105.77510700000001</v>
      </c>
      <c r="L21" s="115">
        <f t="shared" si="0"/>
        <v>-84.597136000000006</v>
      </c>
      <c r="M21" s="115">
        <f t="shared" si="0"/>
        <v>-108.041453</v>
      </c>
      <c r="N21" s="115">
        <f t="shared" si="0"/>
        <v>-65.058026999999996</v>
      </c>
      <c r="O21" s="115">
        <f t="shared" si="0"/>
        <v>-65.080662000000004</v>
      </c>
    </row>
    <row r="22" spans="2:20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20">
      <c r="B23" s="112" t="s">
        <v>71</v>
      </c>
      <c r="C23" s="113">
        <v>35.379175205700001</v>
      </c>
      <c r="D23" s="113">
        <v>33.688204411999997</v>
      </c>
      <c r="E23" s="113">
        <v>34.957113419899997</v>
      </c>
      <c r="F23" s="113">
        <v>42.795358659100003</v>
      </c>
      <c r="G23" s="113">
        <v>42.778241450800003</v>
      </c>
      <c r="H23" s="113">
        <v>42.113317590699999</v>
      </c>
      <c r="I23" s="113">
        <v>44.897175667699997</v>
      </c>
      <c r="J23" s="113">
        <v>52.989699438400002</v>
      </c>
      <c r="K23" s="113">
        <v>58.889238651299998</v>
      </c>
      <c r="L23" s="113">
        <v>62.754847688399998</v>
      </c>
      <c r="M23" s="113">
        <v>75.307173036899997</v>
      </c>
      <c r="N23" s="113">
        <v>56.121769286199999</v>
      </c>
      <c r="O23" s="113">
        <v>47.867154202499997</v>
      </c>
    </row>
    <row r="24" spans="2:20">
      <c r="B24" s="114" t="s">
        <v>72</v>
      </c>
      <c r="C24" s="115">
        <v>17.1059689579</v>
      </c>
      <c r="D24" s="115">
        <v>11.684841565899999</v>
      </c>
      <c r="E24" s="115">
        <v>15.7738338412</v>
      </c>
      <c r="F24" s="115">
        <v>29.031670050500001</v>
      </c>
      <c r="G24" s="115">
        <v>33.197472982000001</v>
      </c>
      <c r="H24" s="115">
        <v>32.055494956300002</v>
      </c>
      <c r="I24" s="115">
        <v>35.148232452199998</v>
      </c>
      <c r="J24" s="115">
        <v>45.464406849900001</v>
      </c>
      <c r="K24" s="115">
        <v>50.752464660699999</v>
      </c>
      <c r="L24" s="115">
        <v>52.399029560499997</v>
      </c>
      <c r="M24" s="115">
        <v>65.800001782600006</v>
      </c>
      <c r="N24" s="115">
        <v>39.8691003956</v>
      </c>
      <c r="O24" s="115">
        <v>31.858757214200001</v>
      </c>
    </row>
    <row r="25" spans="2:20" ht="15">
      <c r="B25" s="117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12" t="s">
        <v>86</v>
      </c>
      <c r="T25" s="176"/>
    </row>
    <row r="26" spans="2:20" ht="15">
      <c r="B26" s="117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12" t="s">
        <v>70</v>
      </c>
      <c r="N26" s="112"/>
      <c r="O26" s="175">
        <f>(O19-C19)/C19</f>
        <v>-0.12208042378855173</v>
      </c>
      <c r="T26" s="171"/>
    </row>
    <row r="27" spans="2:20" ht="15">
      <c r="B27" s="117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12" t="s">
        <v>69</v>
      </c>
      <c r="N27" s="112"/>
      <c r="O27" s="175">
        <f>(O20-C20)/C20</f>
        <v>-6.3282146234246162E-2</v>
      </c>
    </row>
    <row r="28" spans="2:20" ht="15">
      <c r="B28" s="117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12" t="s">
        <v>75</v>
      </c>
      <c r="N28" s="112"/>
      <c r="O28" s="175">
        <f>((O19+O20)-(C19+C20))/(C19+C20)</f>
        <v>-0.10448871058938818</v>
      </c>
    </row>
    <row r="29" spans="2:20" ht="15">
      <c r="B29" s="117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12" t="s">
        <v>71</v>
      </c>
      <c r="N29" s="112"/>
      <c r="O29" s="175">
        <f>(O23-C23)/C23</f>
        <v>0.3529754134796233</v>
      </c>
    </row>
    <row r="30" spans="2:20" ht="15">
      <c r="B30" s="117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12" t="s">
        <v>72</v>
      </c>
      <c r="N30" s="112"/>
      <c r="O30" s="175">
        <f>(O24-C24)/C24</f>
        <v>0.86243511213007107</v>
      </c>
    </row>
    <row r="32" spans="2:20">
      <c r="B32" s="109" t="s">
        <v>155</v>
      </c>
    </row>
    <row r="33" spans="2:16">
      <c r="B33" s="111"/>
      <c r="C33" s="111" t="s">
        <v>32</v>
      </c>
      <c r="D33" s="111" t="s">
        <v>133</v>
      </c>
      <c r="E33" s="111" t="s">
        <v>133</v>
      </c>
      <c r="F33" s="111" t="s">
        <v>133</v>
      </c>
      <c r="G33" s="111" t="s">
        <v>133</v>
      </c>
      <c r="H33" s="111" t="s">
        <v>133</v>
      </c>
      <c r="I33" s="111" t="s">
        <v>133</v>
      </c>
      <c r="J33" s="111" t="s">
        <v>133</v>
      </c>
      <c r="K33" s="111" t="s">
        <v>133</v>
      </c>
      <c r="L33" s="111" t="s">
        <v>133</v>
      </c>
      <c r="M33" s="111" t="s">
        <v>133</v>
      </c>
      <c r="N33" s="111" t="s">
        <v>133</v>
      </c>
      <c r="O33" s="111" t="s">
        <v>133</v>
      </c>
      <c r="P33" s="111" t="s">
        <v>133</v>
      </c>
    </row>
    <row r="34" spans="2:16">
      <c r="B34" s="111"/>
      <c r="C34" s="111" t="s">
        <v>121</v>
      </c>
      <c r="D34" s="111" t="s">
        <v>208</v>
      </c>
      <c r="E34" s="111" t="s">
        <v>209</v>
      </c>
      <c r="F34" s="111" t="s">
        <v>210</v>
      </c>
      <c r="G34" s="111" t="s">
        <v>211</v>
      </c>
      <c r="H34" s="111" t="s">
        <v>212</v>
      </c>
      <c r="I34" s="111" t="s">
        <v>213</v>
      </c>
      <c r="J34" s="111" t="s">
        <v>214</v>
      </c>
      <c r="K34" s="111" t="s">
        <v>215</v>
      </c>
      <c r="L34" s="111" t="s">
        <v>216</v>
      </c>
      <c r="M34" s="111" t="s">
        <v>103</v>
      </c>
      <c r="N34" s="111" t="s">
        <v>217</v>
      </c>
      <c r="O34" s="111" t="s">
        <v>218</v>
      </c>
      <c r="P34" s="111" t="s">
        <v>219</v>
      </c>
    </row>
    <row r="35" spans="2:16">
      <c r="B35" s="111" t="s">
        <v>125</v>
      </c>
      <c r="C35" s="111" t="s">
        <v>126</v>
      </c>
      <c r="D35" s="111" t="s">
        <v>7</v>
      </c>
      <c r="E35" s="111" t="s">
        <v>8</v>
      </c>
      <c r="F35" s="111" t="s">
        <v>7</v>
      </c>
      <c r="G35" s="111" t="s">
        <v>9</v>
      </c>
      <c r="H35" s="111" t="s">
        <v>9</v>
      </c>
      <c r="I35" s="111" t="s">
        <v>8</v>
      </c>
      <c r="J35" s="111" t="s">
        <v>10</v>
      </c>
      <c r="K35" s="111" t="s">
        <v>11</v>
      </c>
      <c r="L35" s="111" t="s">
        <v>12</v>
      </c>
      <c r="M35" s="111" t="s">
        <v>13</v>
      </c>
      <c r="N35" s="111" t="s">
        <v>5</v>
      </c>
      <c r="O35" s="111" t="s">
        <v>6</v>
      </c>
      <c r="P35" s="111" t="s">
        <v>7</v>
      </c>
    </row>
    <row r="36" spans="2:16">
      <c r="B36" s="112" t="s">
        <v>234</v>
      </c>
      <c r="C36" s="112" t="s">
        <v>244</v>
      </c>
      <c r="D36" s="122">
        <v>0</v>
      </c>
      <c r="E36" s="122">
        <v>0</v>
      </c>
      <c r="F36" s="122">
        <v>0</v>
      </c>
      <c r="G36" s="122">
        <v>0</v>
      </c>
      <c r="H36" s="122">
        <v>0</v>
      </c>
      <c r="I36" s="122">
        <v>0</v>
      </c>
      <c r="J36" s="122">
        <v>0</v>
      </c>
      <c r="K36" s="122">
        <v>0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</row>
    <row r="37" spans="2:16">
      <c r="B37" s="112" t="s">
        <v>234</v>
      </c>
      <c r="C37" s="112" t="s">
        <v>235</v>
      </c>
      <c r="D37" s="122">
        <v>46981.5</v>
      </c>
      <c r="E37" s="122">
        <v>48797.4</v>
      </c>
      <c r="F37" s="122">
        <v>53629.9</v>
      </c>
      <c r="G37" s="122">
        <v>56105.7</v>
      </c>
      <c r="H37" s="122">
        <v>52336</v>
      </c>
      <c r="I37" s="122">
        <v>37334.5</v>
      </c>
      <c r="J37" s="122">
        <v>37698.5</v>
      </c>
      <c r="K37" s="122">
        <v>28157.599999999999</v>
      </c>
      <c r="L37" s="122">
        <v>34938.5</v>
      </c>
      <c r="M37" s="122">
        <v>38367.5</v>
      </c>
      <c r="N37" s="122">
        <v>33693.800000000003</v>
      </c>
      <c r="O37" s="122">
        <v>19518.400000000001</v>
      </c>
      <c r="P37" s="122">
        <v>27782.799999999999</v>
      </c>
    </row>
    <row r="38" spans="2:16">
      <c r="B38" s="112" t="s">
        <v>234</v>
      </c>
      <c r="C38" s="112" t="s">
        <v>26</v>
      </c>
      <c r="D38" s="122">
        <v>51189.9</v>
      </c>
      <c r="E38" s="122">
        <v>57355.9</v>
      </c>
      <c r="F38" s="122">
        <v>65079.6</v>
      </c>
      <c r="G38" s="122">
        <v>88155</v>
      </c>
      <c r="H38" s="122">
        <v>94541.2</v>
      </c>
      <c r="I38" s="122">
        <v>67871</v>
      </c>
      <c r="J38" s="122">
        <v>66682.3</v>
      </c>
      <c r="K38" s="122">
        <v>75179.899999999994</v>
      </c>
      <c r="L38" s="122">
        <v>96462</v>
      </c>
      <c r="M38" s="122">
        <v>66989.600000000006</v>
      </c>
      <c r="N38" s="122">
        <v>71645.3</v>
      </c>
      <c r="O38" s="122">
        <v>30319.3</v>
      </c>
      <c r="P38" s="122">
        <v>47861.9</v>
      </c>
    </row>
    <row r="39" spans="2:16">
      <c r="B39" s="112" t="s">
        <v>234</v>
      </c>
      <c r="C39" s="112" t="s">
        <v>243</v>
      </c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2.2000000000000002</v>
      </c>
      <c r="L39" s="122">
        <v>10.5</v>
      </c>
      <c r="M39" s="122">
        <v>22.7</v>
      </c>
      <c r="N39" s="122">
        <v>16.3</v>
      </c>
      <c r="O39" s="122">
        <v>9.6</v>
      </c>
      <c r="P39" s="122">
        <v>30.1</v>
      </c>
    </row>
    <row r="40" spans="2:16">
      <c r="B40" s="112" t="s">
        <v>234</v>
      </c>
      <c r="C40" s="112" t="s">
        <v>237</v>
      </c>
      <c r="D40" s="122">
        <v>6160.8</v>
      </c>
      <c r="E40" s="122">
        <v>12859</v>
      </c>
      <c r="F40" s="122">
        <v>15177.5</v>
      </c>
      <c r="G40" s="122">
        <v>4098</v>
      </c>
      <c r="H40" s="122">
        <v>1399.6</v>
      </c>
      <c r="I40" s="122">
        <v>1577.6</v>
      </c>
      <c r="J40" s="122">
        <v>1355</v>
      </c>
      <c r="K40" s="122">
        <v>3499.1</v>
      </c>
      <c r="L40" s="122">
        <v>3432.1</v>
      </c>
      <c r="M40" s="122">
        <v>3010.5</v>
      </c>
      <c r="N40" s="122">
        <v>5899.1</v>
      </c>
      <c r="O40" s="122">
        <v>4595.7</v>
      </c>
      <c r="P40" s="122">
        <v>3279.6</v>
      </c>
    </row>
    <row r="41" spans="2:16">
      <c r="B41" s="112" t="s">
        <v>234</v>
      </c>
      <c r="C41" s="112" t="s">
        <v>245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22">
        <v>0</v>
      </c>
      <c r="P41" s="122">
        <v>0</v>
      </c>
    </row>
    <row r="42" spans="2:16">
      <c r="B42" s="112" t="s">
        <v>234</v>
      </c>
      <c r="C42" s="112" t="s">
        <v>240</v>
      </c>
      <c r="D42" s="122">
        <v>0</v>
      </c>
      <c r="E42" s="122">
        <v>204.7</v>
      </c>
      <c r="F42" s="122">
        <v>1551.4</v>
      </c>
      <c r="G42" s="122">
        <v>1765.6</v>
      </c>
      <c r="H42" s="122">
        <v>1952.7</v>
      </c>
      <c r="I42" s="122">
        <v>2939.5</v>
      </c>
      <c r="J42" s="122">
        <v>2661.1</v>
      </c>
      <c r="K42" s="122">
        <v>2164.6999999999998</v>
      </c>
      <c r="L42" s="122">
        <v>3197.2</v>
      </c>
      <c r="M42" s="122">
        <v>2208.6</v>
      </c>
      <c r="N42" s="122">
        <v>4288.7</v>
      </c>
      <c r="O42" s="122">
        <v>2486.3000000000002</v>
      </c>
      <c r="P42" s="122">
        <v>3494.1</v>
      </c>
    </row>
    <row r="43" spans="2:16">
      <c r="B43" s="112" t="s">
        <v>234</v>
      </c>
      <c r="C43" s="112" t="s">
        <v>246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</row>
    <row r="44" spans="2:16">
      <c r="B44" s="112" t="s">
        <v>234</v>
      </c>
      <c r="C44" s="112" t="s">
        <v>22</v>
      </c>
      <c r="D44" s="122">
        <v>79699.3</v>
      </c>
      <c r="E44" s="122">
        <v>61249.4</v>
      </c>
      <c r="F44" s="122">
        <v>50504.5</v>
      </c>
      <c r="G44" s="122">
        <v>53472.5</v>
      </c>
      <c r="H44" s="122">
        <v>50314</v>
      </c>
      <c r="I44" s="122">
        <v>37964.300000000003</v>
      </c>
      <c r="J44" s="122">
        <v>53272.9</v>
      </c>
      <c r="K44" s="122">
        <v>70061.5</v>
      </c>
      <c r="L44" s="122">
        <v>72313.8</v>
      </c>
      <c r="M44" s="122">
        <v>52585.3</v>
      </c>
      <c r="N44" s="122">
        <v>99664.7</v>
      </c>
      <c r="O44" s="122">
        <v>21689.9</v>
      </c>
      <c r="P44" s="122">
        <v>75296.7</v>
      </c>
    </row>
    <row r="45" spans="2:16">
      <c r="B45" s="112" t="s">
        <v>234</v>
      </c>
      <c r="C45" s="112" t="s">
        <v>247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</row>
    <row r="46" spans="2:16">
      <c r="B46" s="112" t="s">
        <v>234</v>
      </c>
      <c r="C46" s="112" t="s">
        <v>248</v>
      </c>
      <c r="D46" s="122">
        <v>394.1</v>
      </c>
      <c r="E46" s="122">
        <v>0</v>
      </c>
      <c r="F46" s="122">
        <v>57</v>
      </c>
      <c r="G46" s="122">
        <v>75</v>
      </c>
      <c r="H46" s="122">
        <v>0</v>
      </c>
      <c r="I46" s="122">
        <v>25</v>
      </c>
      <c r="J46" s="122">
        <v>0</v>
      </c>
      <c r="K46" s="122">
        <v>21.9</v>
      </c>
      <c r="L46" s="122">
        <v>0</v>
      </c>
      <c r="M46" s="122">
        <v>619.5</v>
      </c>
      <c r="N46" s="122">
        <v>0</v>
      </c>
      <c r="O46" s="122">
        <v>0</v>
      </c>
      <c r="P46" s="122">
        <v>0</v>
      </c>
    </row>
    <row r="47" spans="2:16">
      <c r="B47" s="112" t="s">
        <v>234</v>
      </c>
      <c r="C47" s="112" t="s">
        <v>236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2">
        <v>0</v>
      </c>
      <c r="P47" s="122">
        <v>0</v>
      </c>
    </row>
    <row r="48" spans="2:16">
      <c r="B48" s="112" t="s">
        <v>234</v>
      </c>
      <c r="C48" s="112" t="s">
        <v>249</v>
      </c>
      <c r="D48" s="122">
        <v>0</v>
      </c>
      <c r="E48" s="122">
        <v>0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>
        <v>0</v>
      </c>
      <c r="O48" s="122">
        <v>0</v>
      </c>
      <c r="P48" s="122">
        <v>0</v>
      </c>
    </row>
    <row r="49" spans="2:16">
      <c r="B49" s="112" t="s">
        <v>234</v>
      </c>
      <c r="C49" s="112" t="s">
        <v>241</v>
      </c>
      <c r="D49" s="122">
        <v>0</v>
      </c>
      <c r="E49" s="122">
        <v>0</v>
      </c>
      <c r="F49" s="122">
        <v>0</v>
      </c>
      <c r="G49" s="122"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0</v>
      </c>
      <c r="N49" s="122">
        <v>0</v>
      </c>
      <c r="O49" s="122">
        <v>0</v>
      </c>
      <c r="P49" s="122">
        <v>0</v>
      </c>
    </row>
    <row r="50" spans="2:16">
      <c r="B50" s="112" t="s">
        <v>234</v>
      </c>
      <c r="C50" s="112" t="s">
        <v>242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0</v>
      </c>
      <c r="O50" s="122">
        <v>0</v>
      </c>
      <c r="P50" s="122">
        <v>0</v>
      </c>
    </row>
    <row r="51" spans="2:16">
      <c r="B51" s="112" t="s">
        <v>234</v>
      </c>
      <c r="C51" s="112" t="s">
        <v>239</v>
      </c>
      <c r="D51" s="122">
        <v>36350.1</v>
      </c>
      <c r="E51" s="122">
        <v>38883.699999999997</v>
      </c>
      <c r="F51" s="122">
        <v>37889.800000000003</v>
      </c>
      <c r="G51" s="122">
        <v>25898.400000000001</v>
      </c>
      <c r="H51" s="122">
        <v>24575.3</v>
      </c>
      <c r="I51" s="122">
        <v>23687.200000000001</v>
      </c>
      <c r="J51" s="122">
        <v>23588.2</v>
      </c>
      <c r="K51" s="122">
        <v>29280.6</v>
      </c>
      <c r="L51" s="122">
        <v>56573.1</v>
      </c>
      <c r="M51" s="122">
        <v>39099.800000000003</v>
      </c>
      <c r="N51" s="122">
        <v>74414.2</v>
      </c>
      <c r="O51" s="122">
        <v>32220.5</v>
      </c>
      <c r="P51" s="122">
        <v>32248</v>
      </c>
    </row>
    <row r="52" spans="2:16">
      <c r="B52" s="112" t="s">
        <v>234</v>
      </c>
      <c r="C52" s="123" t="s">
        <v>0</v>
      </c>
      <c r="D52" s="124">
        <v>220775.7</v>
      </c>
      <c r="E52" s="124">
        <v>219350.1</v>
      </c>
      <c r="F52" s="124">
        <v>223889.7</v>
      </c>
      <c r="G52" s="124">
        <v>229570.2</v>
      </c>
      <c r="H52" s="124">
        <v>225118.8</v>
      </c>
      <c r="I52" s="124">
        <v>171399.1</v>
      </c>
      <c r="J52" s="124">
        <v>185258</v>
      </c>
      <c r="K52" s="124">
        <v>208367.5</v>
      </c>
      <c r="L52" s="124">
        <v>266927.2</v>
      </c>
      <c r="M52" s="124">
        <v>202903.5</v>
      </c>
      <c r="N52" s="124">
        <v>289622.09999999998</v>
      </c>
      <c r="O52" s="124">
        <v>110839.7</v>
      </c>
      <c r="P52" s="124">
        <v>189993.2</v>
      </c>
    </row>
    <row r="53" spans="2:16">
      <c r="B53" s="112" t="s">
        <v>238</v>
      </c>
      <c r="C53" s="112" t="s">
        <v>244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0</v>
      </c>
      <c r="O53" s="122">
        <v>0</v>
      </c>
      <c r="P53" s="122">
        <v>0</v>
      </c>
    </row>
    <row r="54" spans="2:16">
      <c r="B54" s="112" t="s">
        <v>238</v>
      </c>
      <c r="C54" s="112" t="s">
        <v>235</v>
      </c>
      <c r="D54" s="122">
        <v>18462.8</v>
      </c>
      <c r="E54" s="122">
        <v>9128.2000000000007</v>
      </c>
      <c r="F54" s="122">
        <v>12444.9</v>
      </c>
      <c r="G54" s="122">
        <v>27670.2</v>
      </c>
      <c r="H54" s="122">
        <v>26575.7</v>
      </c>
      <c r="I54" s="122">
        <v>32372.1</v>
      </c>
      <c r="J54" s="122">
        <v>46810.1</v>
      </c>
      <c r="K54" s="122">
        <v>30606.2</v>
      </c>
      <c r="L54" s="122">
        <v>38654</v>
      </c>
      <c r="M54" s="122">
        <v>48332.5</v>
      </c>
      <c r="N54" s="122">
        <v>29873.4</v>
      </c>
      <c r="O54" s="122">
        <v>92635.5</v>
      </c>
      <c r="P54" s="122">
        <v>60556.800000000003</v>
      </c>
    </row>
    <row r="55" spans="2:16">
      <c r="B55" s="112" t="s">
        <v>238</v>
      </c>
      <c r="C55" s="112" t="s">
        <v>26</v>
      </c>
      <c r="D55" s="122">
        <v>3751.2</v>
      </c>
      <c r="E55" s="122">
        <v>8591.4</v>
      </c>
      <c r="F55" s="122">
        <v>11889.1</v>
      </c>
      <c r="G55" s="122">
        <v>15256.9</v>
      </c>
      <c r="H55" s="122">
        <v>17125.2</v>
      </c>
      <c r="I55" s="122">
        <v>19882</v>
      </c>
      <c r="J55" s="122">
        <v>21088.9</v>
      </c>
      <c r="K55" s="122">
        <v>25077.200000000001</v>
      </c>
      <c r="L55" s="122">
        <v>23471.9</v>
      </c>
      <c r="M55" s="122">
        <v>32343</v>
      </c>
      <c r="N55" s="122">
        <v>31257.5</v>
      </c>
      <c r="O55" s="122">
        <v>28594.2</v>
      </c>
      <c r="P55" s="122">
        <v>29853.7</v>
      </c>
    </row>
    <row r="56" spans="2:16">
      <c r="B56" s="112" t="s">
        <v>238</v>
      </c>
      <c r="C56" s="112" t="s">
        <v>243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0.8</v>
      </c>
      <c r="J56" s="122">
        <v>0</v>
      </c>
      <c r="K56" s="122">
        <v>351.5</v>
      </c>
      <c r="L56" s="122">
        <v>1088.5</v>
      </c>
      <c r="M56" s="122">
        <v>1137.0999999999999</v>
      </c>
      <c r="N56" s="122">
        <v>232.7</v>
      </c>
      <c r="O56" s="122">
        <v>463.1</v>
      </c>
      <c r="P56" s="122">
        <v>1006.6</v>
      </c>
    </row>
    <row r="57" spans="2:16">
      <c r="B57" s="112" t="s">
        <v>238</v>
      </c>
      <c r="C57" s="112" t="s">
        <v>237</v>
      </c>
      <c r="D57" s="122">
        <v>99732.800000000003</v>
      </c>
      <c r="E57" s="122">
        <v>84739.1</v>
      </c>
      <c r="F57" s="122">
        <v>63369.7</v>
      </c>
      <c r="G57" s="122">
        <v>30546.6</v>
      </c>
      <c r="H57" s="122">
        <v>22647.3</v>
      </c>
      <c r="I57" s="122">
        <v>39268.199999999997</v>
      </c>
      <c r="J57" s="122">
        <v>44806.400000000001</v>
      </c>
      <c r="K57" s="122">
        <v>27192.1</v>
      </c>
      <c r="L57" s="122">
        <v>28952.2</v>
      </c>
      <c r="M57" s="122">
        <v>21197.200000000001</v>
      </c>
      <c r="N57" s="122">
        <v>29718.6</v>
      </c>
      <c r="O57" s="122">
        <v>59071.9</v>
      </c>
      <c r="P57" s="122">
        <v>69541.7</v>
      </c>
    </row>
    <row r="58" spans="2:16">
      <c r="B58" s="112" t="s">
        <v>238</v>
      </c>
      <c r="C58" s="112" t="s">
        <v>245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2">
        <v>0</v>
      </c>
    </row>
    <row r="59" spans="2:16">
      <c r="B59" s="112" t="s">
        <v>238</v>
      </c>
      <c r="C59" s="112" t="s">
        <v>240</v>
      </c>
      <c r="D59" s="122">
        <v>0</v>
      </c>
      <c r="E59" s="122">
        <v>4519.6000000000004</v>
      </c>
      <c r="F59" s="122">
        <v>10841.6</v>
      </c>
      <c r="G59" s="122">
        <v>4860.6000000000004</v>
      </c>
      <c r="H59" s="122">
        <v>4001.3</v>
      </c>
      <c r="I59" s="122">
        <v>8039.4</v>
      </c>
      <c r="J59" s="122">
        <v>3126.2</v>
      </c>
      <c r="K59" s="122">
        <v>4972</v>
      </c>
      <c r="L59" s="122">
        <v>12138.1</v>
      </c>
      <c r="M59" s="122">
        <v>3426.7</v>
      </c>
      <c r="N59" s="122">
        <v>2813.5</v>
      </c>
      <c r="O59" s="122">
        <v>13978.3</v>
      </c>
      <c r="P59" s="122">
        <v>24572.7</v>
      </c>
    </row>
    <row r="60" spans="2:16">
      <c r="B60" s="112" t="s">
        <v>238</v>
      </c>
      <c r="C60" s="112" t="s">
        <v>246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2">
        <v>0</v>
      </c>
    </row>
    <row r="61" spans="2:16">
      <c r="B61" s="112" t="s">
        <v>238</v>
      </c>
      <c r="C61" s="112" t="s">
        <v>22</v>
      </c>
      <c r="D61" s="122">
        <v>27305.599999999999</v>
      </c>
      <c r="E61" s="122">
        <v>30920</v>
      </c>
      <c r="F61" s="122">
        <v>24843.5</v>
      </c>
      <c r="G61" s="122">
        <v>13133.6</v>
      </c>
      <c r="H61" s="122">
        <v>9478.7999999999993</v>
      </c>
      <c r="I61" s="122">
        <v>14094.1</v>
      </c>
      <c r="J61" s="122">
        <v>8427.2000000000007</v>
      </c>
      <c r="K61" s="122">
        <v>25903.4</v>
      </c>
      <c r="L61" s="122">
        <v>20858.900000000001</v>
      </c>
      <c r="M61" s="122">
        <v>25403.7</v>
      </c>
      <c r="N61" s="122">
        <v>48230.3</v>
      </c>
      <c r="O61" s="122">
        <v>19654.8</v>
      </c>
      <c r="P61" s="122">
        <v>29936.2</v>
      </c>
    </row>
    <row r="62" spans="2:16">
      <c r="B62" s="112" t="s">
        <v>238</v>
      </c>
      <c r="C62" s="112" t="s">
        <v>247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0</v>
      </c>
      <c r="O62" s="122">
        <v>0</v>
      </c>
      <c r="P62" s="122">
        <v>0</v>
      </c>
    </row>
    <row r="63" spans="2:16">
      <c r="B63" s="112" t="s">
        <v>238</v>
      </c>
      <c r="C63" s="112" t="s">
        <v>248</v>
      </c>
      <c r="D63" s="122">
        <v>8.3000000000000007</v>
      </c>
      <c r="E63" s="122">
        <v>0</v>
      </c>
      <c r="F63" s="122">
        <v>260</v>
      </c>
      <c r="G63" s="122">
        <v>35</v>
      </c>
      <c r="H63" s="122">
        <v>0</v>
      </c>
      <c r="I63" s="122">
        <v>0</v>
      </c>
      <c r="J63" s="122">
        <v>0</v>
      </c>
      <c r="K63" s="122">
        <v>171.9</v>
      </c>
      <c r="L63" s="122">
        <v>0</v>
      </c>
      <c r="M63" s="122">
        <v>222</v>
      </c>
      <c r="N63" s="122">
        <v>0</v>
      </c>
      <c r="O63" s="122">
        <v>0</v>
      </c>
      <c r="P63" s="122">
        <v>30</v>
      </c>
    </row>
    <row r="64" spans="2:16">
      <c r="B64" s="112" t="s">
        <v>238</v>
      </c>
      <c r="C64" s="112" t="s">
        <v>236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v>0</v>
      </c>
      <c r="O64" s="122">
        <v>0</v>
      </c>
      <c r="P64" s="122">
        <v>0</v>
      </c>
    </row>
    <row r="65" spans="2:16">
      <c r="B65" s="112" t="s">
        <v>238</v>
      </c>
      <c r="C65" s="112" t="s">
        <v>249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0</v>
      </c>
      <c r="P65" s="122">
        <v>0</v>
      </c>
    </row>
    <row r="66" spans="2:16">
      <c r="B66" s="112" t="s">
        <v>238</v>
      </c>
      <c r="C66" s="112" t="s">
        <v>241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2">
        <v>0</v>
      </c>
    </row>
    <row r="67" spans="2:16">
      <c r="B67" s="112" t="s">
        <v>238</v>
      </c>
      <c r="C67" s="112" t="s">
        <v>242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2">
        <v>0</v>
      </c>
    </row>
    <row r="68" spans="2:16">
      <c r="B68" s="112" t="s">
        <v>238</v>
      </c>
      <c r="C68" s="112" t="s">
        <v>239</v>
      </c>
      <c r="D68" s="122">
        <v>13117.3</v>
      </c>
      <c r="E68" s="122">
        <v>16195.4</v>
      </c>
      <c r="F68" s="122">
        <v>6935.7</v>
      </c>
      <c r="G68" s="122">
        <v>583.9</v>
      </c>
      <c r="H68" s="122">
        <v>608.4</v>
      </c>
      <c r="I68" s="122">
        <v>2953</v>
      </c>
      <c r="J68" s="122">
        <v>5288</v>
      </c>
      <c r="K68" s="122">
        <v>4234.3999999999996</v>
      </c>
      <c r="L68" s="122">
        <v>1910.4</v>
      </c>
      <c r="M68" s="122">
        <v>6361.9</v>
      </c>
      <c r="N68" s="122">
        <v>3337.1</v>
      </c>
      <c r="O68" s="122">
        <v>9063.5</v>
      </c>
      <c r="P68" s="122">
        <v>14315.8</v>
      </c>
    </row>
    <row r="69" spans="2:16">
      <c r="B69" s="164" t="s">
        <v>238</v>
      </c>
      <c r="C69" s="148" t="s">
        <v>0</v>
      </c>
      <c r="D69" s="125">
        <v>162378</v>
      </c>
      <c r="E69" s="125">
        <v>154093.70000000001</v>
      </c>
      <c r="F69" s="125">
        <v>130584.5</v>
      </c>
      <c r="G69" s="125">
        <v>92086.8</v>
      </c>
      <c r="H69" s="125">
        <v>80436.7</v>
      </c>
      <c r="I69" s="125">
        <v>116609.60000000001</v>
      </c>
      <c r="J69" s="125">
        <v>129546.8</v>
      </c>
      <c r="K69" s="125">
        <v>118508.7</v>
      </c>
      <c r="L69" s="125">
        <v>127074</v>
      </c>
      <c r="M69" s="125">
        <v>138424.1</v>
      </c>
      <c r="N69" s="125">
        <v>145463.1</v>
      </c>
      <c r="O69" s="125">
        <v>223461.3</v>
      </c>
      <c r="P69" s="125">
        <v>229813.5</v>
      </c>
    </row>
    <row r="70" spans="2:16">
      <c r="B70" s="194" t="s">
        <v>144</v>
      </c>
      <c r="C70" s="148" t="s">
        <v>159</v>
      </c>
      <c r="D70" s="177">
        <v>42.131023658899998</v>
      </c>
      <c r="E70" s="177">
        <v>38.967348635800001</v>
      </c>
      <c r="F70" s="177">
        <v>38.0888409784</v>
      </c>
      <c r="G70" s="177">
        <v>46.215583904200003</v>
      </c>
      <c r="H70" s="177">
        <v>46.918287322099999</v>
      </c>
      <c r="I70" s="177">
        <v>46.1267665349</v>
      </c>
      <c r="J70" s="177">
        <v>49.102792214099999</v>
      </c>
      <c r="K70" s="177">
        <v>59.519913470200002</v>
      </c>
      <c r="L70" s="177">
        <v>67.237482616999998</v>
      </c>
      <c r="M70" s="177">
        <v>69.353032254200002</v>
      </c>
      <c r="N70" s="177">
        <v>86.022068378100002</v>
      </c>
      <c r="O70" s="177">
        <v>68.272500196199999</v>
      </c>
      <c r="P70" s="177">
        <v>53.459637766</v>
      </c>
    </row>
    <row r="71" spans="2:16" ht="15" customHeight="1">
      <c r="B71" s="195"/>
      <c r="C71" s="149" t="s">
        <v>160</v>
      </c>
      <c r="D71" s="178">
        <v>5.3591661432000004</v>
      </c>
      <c r="E71" s="178">
        <v>3.8641131987000001</v>
      </c>
      <c r="F71" s="178">
        <v>5.2265654805999997</v>
      </c>
      <c r="G71" s="178">
        <v>17.557231438199999</v>
      </c>
      <c r="H71" s="178">
        <v>26.8690120306</v>
      </c>
      <c r="I71" s="178">
        <v>23.897432801400001</v>
      </c>
      <c r="J71" s="178">
        <v>26.829993639400001</v>
      </c>
      <c r="K71" s="178">
        <v>38.168603739600002</v>
      </c>
      <c r="L71" s="178">
        <v>34.907456206600003</v>
      </c>
      <c r="M71" s="178">
        <v>40.305706087300003</v>
      </c>
      <c r="N71" s="178">
        <v>51.364834243200001</v>
      </c>
      <c r="O71" s="178">
        <v>28.525761104899999</v>
      </c>
      <c r="P71" s="178">
        <v>19.292700864</v>
      </c>
    </row>
    <row r="72" spans="2:16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</row>
    <row r="73" spans="2:16"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2"/>
      <c r="O73" s="119"/>
      <c r="P73" s="112" t="s">
        <v>86</v>
      </c>
    </row>
    <row r="74" spans="2:16"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2" t="s">
        <v>70</v>
      </c>
      <c r="O74" s="119"/>
      <c r="P74" s="175">
        <f>(P52-D52)/D52</f>
        <v>-0.13942884112698997</v>
      </c>
    </row>
    <row r="75" spans="2:16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2" t="s">
        <v>69</v>
      </c>
      <c r="O75" s="119"/>
      <c r="P75" s="175">
        <f>(P69-D69)/D69</f>
        <v>0.41529948638362341</v>
      </c>
    </row>
    <row r="76" spans="2:16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2" t="s">
        <v>75</v>
      </c>
      <c r="O76" s="119"/>
      <c r="P76" s="175">
        <f>((P52+P69)-(D52+D69))/(D52+D69)</f>
        <v>9.5661349479334273E-2</v>
      </c>
    </row>
    <row r="77" spans="2:16"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2" t="s">
        <v>71</v>
      </c>
      <c r="O77" s="119"/>
      <c r="P77" s="175">
        <f>(P70-D70)/D70</f>
        <v>0.26889007489631411</v>
      </c>
    </row>
    <row r="78" spans="2:16"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2" t="s">
        <v>72</v>
      </c>
      <c r="O78" s="119"/>
      <c r="P78" s="175">
        <f>(P71-D71)/D71</f>
        <v>2.599944533998003</v>
      </c>
    </row>
    <row r="80" spans="2:16">
      <c r="B80" s="109" t="s">
        <v>156</v>
      </c>
    </row>
    <row r="81" spans="2:16">
      <c r="B81" s="111"/>
      <c r="C81" s="111" t="s">
        <v>32</v>
      </c>
      <c r="D81" s="111" t="s">
        <v>134</v>
      </c>
      <c r="E81" s="111" t="s">
        <v>134</v>
      </c>
      <c r="F81" s="111" t="s">
        <v>134</v>
      </c>
      <c r="G81" s="111" t="s">
        <v>134</v>
      </c>
      <c r="H81" s="111" t="s">
        <v>134</v>
      </c>
      <c r="I81" s="111" t="s">
        <v>134</v>
      </c>
      <c r="J81" s="111" t="s">
        <v>134</v>
      </c>
      <c r="K81" s="111" t="s">
        <v>134</v>
      </c>
      <c r="L81" s="111" t="s">
        <v>134</v>
      </c>
      <c r="M81" s="111" t="s">
        <v>134</v>
      </c>
      <c r="N81" s="111" t="s">
        <v>134</v>
      </c>
      <c r="O81" s="111" t="s">
        <v>134</v>
      </c>
      <c r="P81" s="111" t="s">
        <v>134</v>
      </c>
    </row>
    <row r="82" spans="2:16">
      <c r="B82" s="111"/>
      <c r="C82" s="111" t="s">
        <v>121</v>
      </c>
      <c r="D82" s="111" t="s">
        <v>208</v>
      </c>
      <c r="E82" s="111" t="s">
        <v>209</v>
      </c>
      <c r="F82" s="111" t="s">
        <v>210</v>
      </c>
      <c r="G82" s="111" t="s">
        <v>211</v>
      </c>
      <c r="H82" s="111" t="s">
        <v>212</v>
      </c>
      <c r="I82" s="111" t="s">
        <v>213</v>
      </c>
      <c r="J82" s="111" t="s">
        <v>214</v>
      </c>
      <c r="K82" s="111" t="s">
        <v>215</v>
      </c>
      <c r="L82" s="111" t="s">
        <v>216</v>
      </c>
      <c r="M82" s="111" t="s">
        <v>103</v>
      </c>
      <c r="N82" s="111" t="s">
        <v>217</v>
      </c>
      <c r="O82" s="111" t="s">
        <v>218</v>
      </c>
      <c r="P82" s="111" t="s">
        <v>219</v>
      </c>
    </row>
    <row r="83" spans="2:16">
      <c r="B83" s="111" t="s">
        <v>125</v>
      </c>
      <c r="C83" s="111" t="s">
        <v>126</v>
      </c>
      <c r="D83" s="111" t="s">
        <v>7</v>
      </c>
      <c r="E83" s="111" t="s">
        <v>8</v>
      </c>
      <c r="F83" s="111" t="s">
        <v>7</v>
      </c>
      <c r="G83" s="111" t="s">
        <v>9</v>
      </c>
      <c r="H83" s="111" t="s">
        <v>9</v>
      </c>
      <c r="I83" s="111" t="s">
        <v>8</v>
      </c>
      <c r="J83" s="111" t="s">
        <v>10</v>
      </c>
      <c r="K83" s="111" t="s">
        <v>11</v>
      </c>
      <c r="L83" s="111" t="s">
        <v>12</v>
      </c>
      <c r="M83" s="111" t="s">
        <v>13</v>
      </c>
      <c r="N83" s="111" t="s">
        <v>5</v>
      </c>
      <c r="O83" s="111" t="s">
        <v>6</v>
      </c>
      <c r="P83" s="111" t="s">
        <v>7</v>
      </c>
    </row>
    <row r="84" spans="2:16">
      <c r="B84" s="112" t="s">
        <v>234</v>
      </c>
      <c r="C84" s="112" t="s">
        <v>235</v>
      </c>
      <c r="D84" s="122">
        <v>37820.300000000003</v>
      </c>
      <c r="E84" s="122">
        <v>24502</v>
      </c>
      <c r="F84" s="122">
        <v>18542.900000000001</v>
      </c>
      <c r="G84" s="122">
        <v>32003.200000000001</v>
      </c>
      <c r="H84" s="122">
        <v>51324.2</v>
      </c>
      <c r="I84" s="122">
        <v>19608</v>
      </c>
      <c r="J84" s="122">
        <v>51777.2</v>
      </c>
      <c r="K84" s="122">
        <v>16527.099999999999</v>
      </c>
      <c r="L84" s="122">
        <v>27911.599999999999</v>
      </c>
      <c r="M84" s="122">
        <v>14759.8</v>
      </c>
      <c r="N84" s="122">
        <v>27333.200000000001</v>
      </c>
      <c r="O84" s="122">
        <v>11782.3</v>
      </c>
      <c r="P84" s="122">
        <v>10392.299999999999</v>
      </c>
    </row>
    <row r="85" spans="2:16">
      <c r="B85" s="112" t="s">
        <v>234</v>
      </c>
      <c r="C85" s="112" t="s">
        <v>26</v>
      </c>
      <c r="D85" s="122">
        <v>19028.5</v>
      </c>
      <c r="E85" s="122">
        <v>15019.4</v>
      </c>
      <c r="F85" s="122">
        <v>12194.7</v>
      </c>
      <c r="G85" s="122">
        <v>25715</v>
      </c>
      <c r="H85" s="122">
        <v>59857.5</v>
      </c>
      <c r="I85" s="122">
        <v>34074</v>
      </c>
      <c r="J85" s="122">
        <v>60003.199999999997</v>
      </c>
      <c r="K85" s="122">
        <v>30870.5</v>
      </c>
      <c r="L85" s="122">
        <v>59353</v>
      </c>
      <c r="M85" s="122">
        <v>21112.2</v>
      </c>
      <c r="N85" s="122">
        <v>50390.400000000001</v>
      </c>
      <c r="O85" s="122">
        <v>9297.4</v>
      </c>
      <c r="P85" s="122">
        <v>9024.7999999999993</v>
      </c>
    </row>
    <row r="86" spans="2:16">
      <c r="B86" s="112" t="s">
        <v>234</v>
      </c>
      <c r="C86" s="112" t="s">
        <v>243</v>
      </c>
      <c r="D86" s="122">
        <v>23.8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v>0</v>
      </c>
      <c r="O86" s="122">
        <v>0</v>
      </c>
      <c r="P86" s="122">
        <v>0</v>
      </c>
    </row>
    <row r="87" spans="2:16">
      <c r="B87" s="112" t="s">
        <v>234</v>
      </c>
      <c r="C87" s="112" t="s">
        <v>237</v>
      </c>
      <c r="D87" s="122">
        <v>4950.8</v>
      </c>
      <c r="E87" s="122">
        <v>8611</v>
      </c>
      <c r="F87" s="122">
        <v>3802.8</v>
      </c>
      <c r="G87" s="122">
        <v>1834</v>
      </c>
      <c r="H87" s="122">
        <v>381.3</v>
      </c>
      <c r="I87" s="122">
        <v>154.80000000000001</v>
      </c>
      <c r="J87" s="122">
        <v>418.8</v>
      </c>
      <c r="K87" s="122">
        <v>2014.8</v>
      </c>
      <c r="L87" s="122">
        <v>2603.5</v>
      </c>
      <c r="M87" s="122">
        <v>2054.9</v>
      </c>
      <c r="N87" s="122">
        <v>1420.1</v>
      </c>
      <c r="O87" s="122">
        <v>2429.3000000000002</v>
      </c>
      <c r="P87" s="122">
        <v>1213</v>
      </c>
    </row>
    <row r="88" spans="2:16">
      <c r="B88" s="112" t="s">
        <v>234</v>
      </c>
      <c r="C88" s="112" t="s">
        <v>240</v>
      </c>
      <c r="D88" s="122">
        <v>0</v>
      </c>
      <c r="E88" s="122">
        <v>0</v>
      </c>
      <c r="F88" s="122">
        <v>29.4</v>
      </c>
      <c r="G88" s="122">
        <v>309.7</v>
      </c>
      <c r="H88" s="122">
        <v>830.5</v>
      </c>
      <c r="I88" s="122">
        <v>407.6</v>
      </c>
      <c r="J88" s="122">
        <v>585.4</v>
      </c>
      <c r="K88" s="122">
        <v>341.7</v>
      </c>
      <c r="L88" s="122">
        <v>562.79999999999995</v>
      </c>
      <c r="M88" s="122">
        <v>290</v>
      </c>
      <c r="N88" s="122">
        <v>796.7</v>
      </c>
      <c r="O88" s="122">
        <v>37.700000000000003</v>
      </c>
      <c r="P88" s="122">
        <v>83.9</v>
      </c>
    </row>
    <row r="89" spans="2:16">
      <c r="B89" s="112" t="s">
        <v>234</v>
      </c>
      <c r="C89" s="112" t="s">
        <v>22</v>
      </c>
      <c r="D89" s="122">
        <v>37761.800000000003</v>
      </c>
      <c r="E89" s="122">
        <v>21323</v>
      </c>
      <c r="F89" s="122">
        <v>10110.1</v>
      </c>
      <c r="G89" s="122">
        <v>15345.5</v>
      </c>
      <c r="H89" s="122">
        <v>22884.7</v>
      </c>
      <c r="I89" s="122">
        <v>13164.8</v>
      </c>
      <c r="J89" s="122">
        <v>30624.400000000001</v>
      </c>
      <c r="K89" s="122">
        <v>14982.5</v>
      </c>
      <c r="L89" s="122">
        <v>23494.9</v>
      </c>
      <c r="M89" s="122">
        <v>9517.7000000000007</v>
      </c>
      <c r="N89" s="122">
        <v>48799.7</v>
      </c>
      <c r="O89" s="122">
        <v>5011.6000000000004</v>
      </c>
      <c r="P89" s="122">
        <v>15815.6</v>
      </c>
    </row>
    <row r="90" spans="2:16">
      <c r="B90" s="112" t="s">
        <v>234</v>
      </c>
      <c r="C90" s="112" t="s">
        <v>248</v>
      </c>
      <c r="D90" s="122">
        <v>0</v>
      </c>
      <c r="E90" s="122">
        <v>0</v>
      </c>
      <c r="F90" s="122">
        <v>0</v>
      </c>
      <c r="G90" s="122">
        <v>404.7</v>
      </c>
      <c r="H90" s="122">
        <v>0</v>
      </c>
      <c r="I90" s="122">
        <v>150</v>
      </c>
      <c r="J90" s="122">
        <v>0</v>
      </c>
      <c r="K90" s="122">
        <v>0</v>
      </c>
      <c r="L90" s="122">
        <v>0</v>
      </c>
      <c r="M90" s="122">
        <v>60</v>
      </c>
      <c r="N90" s="122">
        <v>0</v>
      </c>
      <c r="O90" s="122">
        <v>0</v>
      </c>
      <c r="P90" s="122">
        <v>0</v>
      </c>
    </row>
    <row r="91" spans="2:16">
      <c r="B91" s="112" t="s">
        <v>234</v>
      </c>
      <c r="C91" s="112" t="s">
        <v>239</v>
      </c>
      <c r="D91" s="122">
        <v>15892.4</v>
      </c>
      <c r="E91" s="122">
        <v>12131.8</v>
      </c>
      <c r="F91" s="122">
        <v>15019.5</v>
      </c>
      <c r="G91" s="122">
        <v>3667.5</v>
      </c>
      <c r="H91" s="122">
        <v>5850</v>
      </c>
      <c r="I91" s="122">
        <v>4538.1000000000004</v>
      </c>
      <c r="J91" s="122">
        <v>11791</v>
      </c>
      <c r="K91" s="122">
        <v>6233.4</v>
      </c>
      <c r="L91" s="122">
        <v>15319.9</v>
      </c>
      <c r="M91" s="122">
        <v>10705.2</v>
      </c>
      <c r="N91" s="122">
        <v>22768.5</v>
      </c>
      <c r="O91" s="122">
        <v>3301.6</v>
      </c>
      <c r="P91" s="122">
        <v>5970.4</v>
      </c>
    </row>
    <row r="92" spans="2:16">
      <c r="B92" s="112" t="s">
        <v>234</v>
      </c>
      <c r="C92" s="123" t="s">
        <v>0</v>
      </c>
      <c r="D92" s="124">
        <v>115477.6</v>
      </c>
      <c r="E92" s="124">
        <v>81587.199999999997</v>
      </c>
      <c r="F92" s="124">
        <v>59699.4</v>
      </c>
      <c r="G92" s="124">
        <v>79279.600000000006</v>
      </c>
      <c r="H92" s="124">
        <v>141128.20000000001</v>
      </c>
      <c r="I92" s="124">
        <v>72097.3</v>
      </c>
      <c r="J92" s="124">
        <v>155200</v>
      </c>
      <c r="K92" s="124">
        <v>70970</v>
      </c>
      <c r="L92" s="124">
        <v>129245.7</v>
      </c>
      <c r="M92" s="124">
        <v>58499.8</v>
      </c>
      <c r="N92" s="124">
        <v>151508.6</v>
      </c>
      <c r="O92" s="124">
        <v>31859.9</v>
      </c>
      <c r="P92" s="124">
        <v>42500</v>
      </c>
    </row>
    <row r="93" spans="2:16">
      <c r="B93" s="112" t="s">
        <v>238</v>
      </c>
      <c r="C93" s="112" t="s">
        <v>235</v>
      </c>
      <c r="D93" s="122">
        <v>8482.9</v>
      </c>
      <c r="E93" s="122">
        <v>2481.1999999999998</v>
      </c>
      <c r="F93" s="122">
        <v>2502.1</v>
      </c>
      <c r="G93" s="122">
        <v>9826.2999999999993</v>
      </c>
      <c r="H93" s="122">
        <v>16804.900000000001</v>
      </c>
      <c r="I93" s="122">
        <v>20254.099999999999</v>
      </c>
      <c r="J93" s="122">
        <v>28176.400000000001</v>
      </c>
      <c r="K93" s="122">
        <v>10892.6</v>
      </c>
      <c r="L93" s="122">
        <v>5563.5</v>
      </c>
      <c r="M93" s="122">
        <v>12581.1</v>
      </c>
      <c r="N93" s="122">
        <v>7306.9</v>
      </c>
      <c r="O93" s="122">
        <v>50376</v>
      </c>
      <c r="P93" s="122">
        <v>46429</v>
      </c>
    </row>
    <row r="94" spans="2:16">
      <c r="B94" s="112" t="s">
        <v>238</v>
      </c>
      <c r="C94" s="112" t="s">
        <v>26</v>
      </c>
      <c r="D94" s="122">
        <v>1097</v>
      </c>
      <c r="E94" s="122">
        <v>973</v>
      </c>
      <c r="F94" s="122">
        <v>1126</v>
      </c>
      <c r="G94" s="122">
        <v>3497.3</v>
      </c>
      <c r="H94" s="122">
        <v>9200.1</v>
      </c>
      <c r="I94" s="122">
        <v>4502.5</v>
      </c>
      <c r="J94" s="122">
        <v>12664.3</v>
      </c>
      <c r="K94" s="122">
        <v>9459.2999999999993</v>
      </c>
      <c r="L94" s="122">
        <v>5060.2</v>
      </c>
      <c r="M94" s="122">
        <v>13203.9</v>
      </c>
      <c r="N94" s="122">
        <v>11559.1</v>
      </c>
      <c r="O94" s="122">
        <v>18600.8</v>
      </c>
      <c r="P94" s="122">
        <v>22875.8</v>
      </c>
    </row>
    <row r="95" spans="2:16">
      <c r="B95" s="112" t="s">
        <v>238</v>
      </c>
      <c r="C95" s="112" t="s">
        <v>243</v>
      </c>
      <c r="D95" s="122">
        <v>0</v>
      </c>
      <c r="E95" s="122">
        <v>0</v>
      </c>
      <c r="F95" s="122">
        <v>0</v>
      </c>
      <c r="G95" s="122">
        <v>0</v>
      </c>
      <c r="H95" s="122">
        <v>0</v>
      </c>
      <c r="I95" s="122">
        <v>0</v>
      </c>
      <c r="J95" s="122">
        <v>0</v>
      </c>
      <c r="K95" s="122">
        <v>19</v>
      </c>
      <c r="L95" s="122">
        <v>113</v>
      </c>
      <c r="M95" s="122">
        <v>233</v>
      </c>
      <c r="N95" s="122">
        <v>88</v>
      </c>
      <c r="O95" s="122">
        <v>92.8</v>
      </c>
      <c r="P95" s="122">
        <v>230</v>
      </c>
    </row>
    <row r="96" spans="2:16">
      <c r="B96" s="112" t="s">
        <v>238</v>
      </c>
      <c r="C96" s="112" t="s">
        <v>237</v>
      </c>
      <c r="D96" s="122">
        <v>28368.3</v>
      </c>
      <c r="E96" s="122">
        <v>16964.8</v>
      </c>
      <c r="F96" s="122">
        <v>10105.799999999999</v>
      </c>
      <c r="G96" s="122">
        <v>8231.5</v>
      </c>
      <c r="H96" s="122">
        <v>4654.1000000000004</v>
      </c>
      <c r="I96" s="122">
        <v>14825.7</v>
      </c>
      <c r="J96" s="122">
        <v>15166.3</v>
      </c>
      <c r="K96" s="122">
        <v>7585</v>
      </c>
      <c r="L96" s="122">
        <v>7129.2</v>
      </c>
      <c r="M96" s="122">
        <v>6261.8</v>
      </c>
      <c r="N96" s="122">
        <v>7999</v>
      </c>
      <c r="O96" s="122">
        <v>18257.2</v>
      </c>
      <c r="P96" s="122">
        <v>26858.5</v>
      </c>
    </row>
    <row r="97" spans="2:16">
      <c r="B97" s="112" t="s">
        <v>238</v>
      </c>
      <c r="C97" s="112" t="s">
        <v>240</v>
      </c>
      <c r="D97" s="122">
        <v>0</v>
      </c>
      <c r="E97" s="122">
        <v>0</v>
      </c>
      <c r="F97" s="122">
        <v>176.9</v>
      </c>
      <c r="G97" s="122">
        <v>242</v>
      </c>
      <c r="H97" s="122">
        <v>369.5</v>
      </c>
      <c r="I97" s="122">
        <v>422.9</v>
      </c>
      <c r="J97" s="122">
        <v>462.1</v>
      </c>
      <c r="K97" s="122">
        <v>201.8</v>
      </c>
      <c r="L97" s="122">
        <v>169.4</v>
      </c>
      <c r="M97" s="122">
        <v>220.5</v>
      </c>
      <c r="N97" s="122">
        <v>402.8</v>
      </c>
      <c r="O97" s="122">
        <v>867.9</v>
      </c>
      <c r="P97" s="122">
        <v>1566</v>
      </c>
    </row>
    <row r="98" spans="2:16">
      <c r="B98" s="112" t="s">
        <v>238</v>
      </c>
      <c r="C98" s="112" t="s">
        <v>22</v>
      </c>
      <c r="D98" s="122">
        <v>6471.7</v>
      </c>
      <c r="E98" s="122">
        <v>7876.1</v>
      </c>
      <c r="F98" s="122">
        <v>4467.7</v>
      </c>
      <c r="G98" s="122">
        <v>3677.4</v>
      </c>
      <c r="H98" s="122">
        <v>7625.8</v>
      </c>
      <c r="I98" s="122">
        <v>13215.2</v>
      </c>
      <c r="J98" s="122">
        <v>8996.5</v>
      </c>
      <c r="K98" s="122">
        <v>8745.2999999999993</v>
      </c>
      <c r="L98" s="122">
        <v>3964.2</v>
      </c>
      <c r="M98" s="122">
        <v>5846.4</v>
      </c>
      <c r="N98" s="122">
        <v>17797.7</v>
      </c>
      <c r="O98" s="122">
        <v>17793.5</v>
      </c>
      <c r="P98" s="122">
        <v>20878.900000000001</v>
      </c>
    </row>
    <row r="99" spans="2:16">
      <c r="B99" s="112" t="s">
        <v>238</v>
      </c>
      <c r="C99" s="112" t="s">
        <v>248</v>
      </c>
      <c r="D99" s="122">
        <v>0</v>
      </c>
      <c r="E99" s="122">
        <v>0</v>
      </c>
      <c r="F99" s="122">
        <v>0</v>
      </c>
      <c r="G99" s="122">
        <v>0</v>
      </c>
      <c r="H99" s="122">
        <v>0</v>
      </c>
      <c r="I99" s="122">
        <v>0</v>
      </c>
      <c r="J99" s="122">
        <v>0</v>
      </c>
      <c r="K99" s="122">
        <v>0</v>
      </c>
      <c r="L99" s="122">
        <v>0</v>
      </c>
      <c r="M99" s="122">
        <v>125</v>
      </c>
      <c r="N99" s="122">
        <v>0</v>
      </c>
      <c r="O99" s="122">
        <v>0</v>
      </c>
      <c r="P99" s="122">
        <v>0</v>
      </c>
    </row>
    <row r="100" spans="2:16">
      <c r="B100" s="112" t="s">
        <v>238</v>
      </c>
      <c r="C100" s="112" t="s">
        <v>239</v>
      </c>
      <c r="D100" s="122">
        <v>4284.6000000000004</v>
      </c>
      <c r="E100" s="122">
        <v>1848.7</v>
      </c>
      <c r="F100" s="122">
        <v>1975.3</v>
      </c>
      <c r="G100" s="122">
        <v>129.80000000000001</v>
      </c>
      <c r="H100" s="122">
        <v>107.2</v>
      </c>
      <c r="I100" s="122">
        <v>462.9</v>
      </c>
      <c r="J100" s="122">
        <v>3124.7</v>
      </c>
      <c r="K100" s="122">
        <v>691.6</v>
      </c>
      <c r="L100" s="122">
        <v>709</v>
      </c>
      <c r="M100" s="122">
        <v>1688.7</v>
      </c>
      <c r="N100" s="122">
        <v>1941.3</v>
      </c>
      <c r="O100" s="122">
        <v>4596.7</v>
      </c>
      <c r="P100" s="122">
        <v>13810.2</v>
      </c>
    </row>
    <row r="101" spans="2:16">
      <c r="B101" s="112" t="s">
        <v>238</v>
      </c>
      <c r="C101" s="123" t="s">
        <v>0</v>
      </c>
      <c r="D101" s="124">
        <v>48704.5</v>
      </c>
      <c r="E101" s="124">
        <v>30143.8</v>
      </c>
      <c r="F101" s="124">
        <v>20353.8</v>
      </c>
      <c r="G101" s="124">
        <v>25604.3</v>
      </c>
      <c r="H101" s="124">
        <v>38761.599999999999</v>
      </c>
      <c r="I101" s="124">
        <v>53683.3</v>
      </c>
      <c r="J101" s="124">
        <v>68590.3</v>
      </c>
      <c r="K101" s="124">
        <v>37594.6</v>
      </c>
      <c r="L101" s="124">
        <v>22708.5</v>
      </c>
      <c r="M101" s="124">
        <v>40160.400000000001</v>
      </c>
      <c r="N101" s="124">
        <v>47094.8</v>
      </c>
      <c r="O101" s="124">
        <v>110584.9</v>
      </c>
      <c r="P101" s="124">
        <v>132648.4</v>
      </c>
    </row>
    <row r="102" spans="2:16">
      <c r="B102" s="112" t="s">
        <v>0</v>
      </c>
      <c r="C102" s="148"/>
      <c r="D102" s="177">
        <v>37.474939988400003</v>
      </c>
      <c r="E102" s="177">
        <v>35.812212577499999</v>
      </c>
      <c r="F102" s="177">
        <v>35.241335926300003</v>
      </c>
      <c r="G102" s="177">
        <v>45.437845422999999</v>
      </c>
      <c r="H102" s="177">
        <v>45.583879125499998</v>
      </c>
      <c r="I102" s="177">
        <v>46.119075471599999</v>
      </c>
      <c r="J102" s="177">
        <v>50.606002190700003</v>
      </c>
      <c r="K102" s="177">
        <v>58.413288431700003</v>
      </c>
      <c r="L102" s="177">
        <v>64.995111945700003</v>
      </c>
      <c r="M102" s="177">
        <v>67.596904775699997</v>
      </c>
      <c r="N102" s="177">
        <v>84.925632340299998</v>
      </c>
      <c r="O102" s="177">
        <v>75.523737362600002</v>
      </c>
      <c r="P102" s="177">
        <v>52.278636470599999</v>
      </c>
    </row>
    <row r="103" spans="2:16">
      <c r="B103" s="112"/>
      <c r="C103" s="149" t="s">
        <v>160</v>
      </c>
      <c r="D103" s="178">
        <v>13.8918163619</v>
      </c>
      <c r="E103" s="178">
        <v>4.8816104804</v>
      </c>
      <c r="F103" s="178">
        <v>12.8525263096</v>
      </c>
      <c r="G103" s="178">
        <v>24.859456028899999</v>
      </c>
      <c r="H103" s="178">
        <v>31.8991628313</v>
      </c>
      <c r="I103" s="178">
        <v>26.904423163299999</v>
      </c>
      <c r="J103" s="178">
        <v>32.704484016000002</v>
      </c>
      <c r="K103" s="178">
        <v>42.427821282799997</v>
      </c>
      <c r="L103" s="178">
        <v>39.590902965799998</v>
      </c>
      <c r="M103" s="178">
        <v>47.524236561400002</v>
      </c>
      <c r="N103" s="178">
        <v>56.505910843700001</v>
      </c>
      <c r="O103" s="178">
        <v>39.278952461000003</v>
      </c>
      <c r="P103" s="178">
        <v>30.862738864499999</v>
      </c>
    </row>
    <row r="104" spans="2:16" ht="15">
      <c r="B104" s="121"/>
      <c r="C104" s="121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</row>
    <row r="105" spans="2:16" ht="15"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12"/>
      <c r="O105" s="119"/>
      <c r="P105" s="112"/>
    </row>
    <row r="106" spans="2:16" ht="15"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12"/>
      <c r="O106" s="119"/>
      <c r="P106" s="112" t="s">
        <v>86</v>
      </c>
    </row>
    <row r="107" spans="2:16" ht="15"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12" t="s">
        <v>73</v>
      </c>
      <c r="O107" s="119"/>
      <c r="P107" s="175">
        <f>(P92-D92)/D92</f>
        <v>-0.63196325521140029</v>
      </c>
    </row>
    <row r="108" spans="2:16" ht="15"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12" t="s">
        <v>74</v>
      </c>
      <c r="O108" s="119"/>
      <c r="P108" s="175">
        <f>(P101-D101)/D101</f>
        <v>1.7235347863133796</v>
      </c>
    </row>
    <row r="109" spans="2:16" ht="15"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12" t="s">
        <v>76</v>
      </c>
      <c r="O109" s="119"/>
      <c r="P109" s="175">
        <f>((P92+P101)-(D92+D101))/(D92+D101)</f>
        <v>6.6793517685545423E-2</v>
      </c>
    </row>
    <row r="110" spans="2:16" ht="15"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12" t="s">
        <v>71</v>
      </c>
      <c r="O110" s="119"/>
      <c r="P110" s="175">
        <f>(P102-D102)/D102</f>
        <v>0.39502922451062855</v>
      </c>
    </row>
    <row r="111" spans="2:16">
      <c r="N111" s="112" t="s">
        <v>72</v>
      </c>
      <c r="O111" s="119"/>
      <c r="P111" s="175">
        <f>(P103-D103)/D103</f>
        <v>1.2216489234010335</v>
      </c>
    </row>
    <row r="112" spans="2:16">
      <c r="B112" s="109" t="s">
        <v>157</v>
      </c>
    </row>
    <row r="113" spans="2:16">
      <c r="B113" s="111" t="s">
        <v>32</v>
      </c>
      <c r="C113" s="111" t="s">
        <v>66</v>
      </c>
      <c r="D113" s="111" t="s">
        <v>66</v>
      </c>
      <c r="E113" s="111" t="s">
        <v>66</v>
      </c>
      <c r="F113" s="111" t="s">
        <v>66</v>
      </c>
      <c r="G113" s="111" t="s">
        <v>66</v>
      </c>
      <c r="H113" s="111" t="s">
        <v>66</v>
      </c>
      <c r="I113" s="111" t="s">
        <v>66</v>
      </c>
      <c r="J113" s="111" t="s">
        <v>66</v>
      </c>
      <c r="K113" s="111" t="s">
        <v>66</v>
      </c>
      <c r="L113" s="111" t="s">
        <v>66</v>
      </c>
      <c r="M113" s="111" t="s">
        <v>66</v>
      </c>
      <c r="N113" s="111" t="s">
        <v>66</v>
      </c>
      <c r="O113" s="111" t="s">
        <v>66</v>
      </c>
      <c r="P113" s="111" t="s">
        <v>66</v>
      </c>
    </row>
    <row r="114" spans="2:16">
      <c r="B114" s="111" t="s">
        <v>121</v>
      </c>
      <c r="C114" s="111" t="s">
        <v>208</v>
      </c>
      <c r="D114" s="111" t="s">
        <v>209</v>
      </c>
      <c r="E114" s="111" t="s">
        <v>210</v>
      </c>
      <c r="F114" s="111" t="s">
        <v>211</v>
      </c>
      <c r="G114" s="111" t="s">
        <v>212</v>
      </c>
      <c r="H114" s="111" t="s">
        <v>213</v>
      </c>
      <c r="I114" s="111" t="s">
        <v>214</v>
      </c>
      <c r="J114" s="111" t="s">
        <v>215</v>
      </c>
      <c r="K114" s="111" t="s">
        <v>216</v>
      </c>
      <c r="L114" s="111" t="s">
        <v>103</v>
      </c>
      <c r="M114" s="111" t="s">
        <v>217</v>
      </c>
      <c r="N114" s="111" t="s">
        <v>218</v>
      </c>
      <c r="O114" s="111" t="s">
        <v>219</v>
      </c>
      <c r="P114" s="111" t="s">
        <v>0</v>
      </c>
    </row>
    <row r="115" spans="2:16">
      <c r="B115" s="111" t="s">
        <v>126</v>
      </c>
      <c r="C115" s="111" t="s">
        <v>7</v>
      </c>
      <c r="D115" s="111" t="s">
        <v>8</v>
      </c>
      <c r="E115" s="111" t="s">
        <v>7</v>
      </c>
      <c r="F115" s="111" t="s">
        <v>9</v>
      </c>
      <c r="G115" s="111" t="s">
        <v>9</v>
      </c>
      <c r="H115" s="111" t="s">
        <v>8</v>
      </c>
      <c r="I115" s="111" t="s">
        <v>10</v>
      </c>
      <c r="J115" s="111" t="s">
        <v>11</v>
      </c>
      <c r="K115" s="111" t="s">
        <v>12</v>
      </c>
      <c r="L115" s="111" t="s">
        <v>13</v>
      </c>
      <c r="M115" s="111" t="s">
        <v>5</v>
      </c>
      <c r="N115" s="111" t="s">
        <v>6</v>
      </c>
      <c r="O115" s="111" t="s">
        <v>7</v>
      </c>
      <c r="P115" s="111"/>
    </row>
    <row r="116" spans="2:16">
      <c r="B116" s="112" t="s">
        <v>235</v>
      </c>
      <c r="C116" s="122">
        <v>1586.3</v>
      </c>
      <c r="D116" s="122">
        <v>576.5</v>
      </c>
      <c r="E116" s="122">
        <v>3569.6</v>
      </c>
      <c r="F116" s="122">
        <v>5205</v>
      </c>
      <c r="G116" s="122">
        <v>210</v>
      </c>
      <c r="H116" s="122">
        <v>2091.8000000000002</v>
      </c>
      <c r="I116" s="122">
        <v>456.3</v>
      </c>
      <c r="J116" s="122">
        <v>53.4</v>
      </c>
      <c r="K116" s="122">
        <v>0</v>
      </c>
      <c r="L116" s="122">
        <v>0</v>
      </c>
      <c r="M116" s="122">
        <v>0</v>
      </c>
      <c r="N116" s="122">
        <v>6150</v>
      </c>
      <c r="O116" s="122">
        <v>0</v>
      </c>
      <c r="P116" s="122">
        <v>19898.900000000001</v>
      </c>
    </row>
    <row r="117" spans="2:16">
      <c r="B117" s="112" t="s">
        <v>26</v>
      </c>
      <c r="C117" s="122">
        <v>26999.7</v>
      </c>
      <c r="D117" s="122">
        <v>26003.599999999999</v>
      </c>
      <c r="E117" s="122">
        <v>19753.8</v>
      </c>
      <c r="F117" s="122">
        <v>22612.799999999999</v>
      </c>
      <c r="G117" s="122">
        <v>7404.2</v>
      </c>
      <c r="H117" s="122">
        <v>20206</v>
      </c>
      <c r="I117" s="122">
        <v>18024.599999999999</v>
      </c>
      <c r="J117" s="122">
        <v>23642.3</v>
      </c>
      <c r="K117" s="122">
        <v>27130.5</v>
      </c>
      <c r="L117" s="122">
        <v>9410.5</v>
      </c>
      <c r="M117" s="122">
        <v>25945.3</v>
      </c>
      <c r="N117" s="122">
        <v>9508.4</v>
      </c>
      <c r="O117" s="122">
        <v>19740.7</v>
      </c>
      <c r="P117" s="122">
        <v>256382.4</v>
      </c>
    </row>
    <row r="118" spans="2:16">
      <c r="B118" s="112" t="s">
        <v>243</v>
      </c>
      <c r="C118" s="122">
        <v>0</v>
      </c>
      <c r="D118" s="122">
        <v>0</v>
      </c>
      <c r="E118" s="122">
        <v>10.4</v>
      </c>
      <c r="F118" s="122">
        <v>0</v>
      </c>
      <c r="G118" s="122">
        <v>0</v>
      </c>
      <c r="H118" s="122">
        <v>0</v>
      </c>
      <c r="I118" s="122">
        <v>0</v>
      </c>
      <c r="J118" s="122">
        <v>0</v>
      </c>
      <c r="K118" s="122">
        <v>0</v>
      </c>
      <c r="L118" s="122">
        <v>0</v>
      </c>
      <c r="M118" s="122">
        <v>0</v>
      </c>
      <c r="N118" s="122">
        <v>0</v>
      </c>
      <c r="O118" s="122">
        <v>0</v>
      </c>
      <c r="P118" s="122">
        <v>10.4</v>
      </c>
    </row>
    <row r="119" spans="2:16">
      <c r="B119" s="112" t="s">
        <v>237</v>
      </c>
      <c r="C119" s="122">
        <v>3618.7</v>
      </c>
      <c r="D119" s="122">
        <v>9984.7000000000007</v>
      </c>
      <c r="E119" s="122">
        <v>3695</v>
      </c>
      <c r="F119" s="122">
        <v>5244.3</v>
      </c>
      <c r="G119" s="122">
        <v>326.10000000000002</v>
      </c>
      <c r="H119" s="122">
        <v>273.8</v>
      </c>
      <c r="I119" s="122">
        <v>521.1</v>
      </c>
      <c r="J119" s="122">
        <v>1821.5</v>
      </c>
      <c r="K119" s="122">
        <v>1183.5</v>
      </c>
      <c r="L119" s="122">
        <v>701.1</v>
      </c>
      <c r="M119" s="122">
        <v>3031.3</v>
      </c>
      <c r="N119" s="122">
        <v>1469.4</v>
      </c>
      <c r="O119" s="122">
        <v>1177.9000000000001</v>
      </c>
      <c r="P119" s="122">
        <v>33048.400000000001</v>
      </c>
    </row>
    <row r="120" spans="2:16">
      <c r="B120" s="112" t="s">
        <v>245</v>
      </c>
      <c r="C120" s="122">
        <v>83.2</v>
      </c>
      <c r="D120" s="122">
        <v>0</v>
      </c>
      <c r="E120" s="122">
        <v>26</v>
      </c>
      <c r="F120" s="122">
        <v>0</v>
      </c>
      <c r="G120" s="122">
        <v>0</v>
      </c>
      <c r="H120" s="122">
        <v>0</v>
      </c>
      <c r="I120" s="122">
        <v>279.8</v>
      </c>
      <c r="J120" s="122">
        <v>200.8</v>
      </c>
      <c r="K120" s="122">
        <v>0</v>
      </c>
      <c r="L120" s="122">
        <v>0</v>
      </c>
      <c r="M120" s="122">
        <v>0</v>
      </c>
      <c r="N120" s="122">
        <v>0</v>
      </c>
      <c r="O120" s="122">
        <v>20.399999999999999</v>
      </c>
      <c r="P120" s="122">
        <v>610.20000000000005</v>
      </c>
    </row>
    <row r="121" spans="2:16">
      <c r="B121" s="112" t="s">
        <v>240</v>
      </c>
      <c r="C121" s="122">
        <v>1329.1</v>
      </c>
      <c r="D121" s="122">
        <v>0</v>
      </c>
      <c r="E121" s="122">
        <v>1500</v>
      </c>
      <c r="F121" s="122">
        <v>0</v>
      </c>
      <c r="G121" s="122">
        <v>0</v>
      </c>
      <c r="H121" s="122">
        <v>0</v>
      </c>
      <c r="I121" s="122">
        <v>0</v>
      </c>
      <c r="J121" s="122">
        <v>0</v>
      </c>
      <c r="K121" s="122">
        <v>0</v>
      </c>
      <c r="L121" s="122">
        <v>0</v>
      </c>
      <c r="M121" s="122">
        <v>0</v>
      </c>
      <c r="N121" s="122">
        <v>0</v>
      </c>
      <c r="O121" s="122">
        <v>43.7</v>
      </c>
      <c r="P121" s="122">
        <v>2872.8</v>
      </c>
    </row>
    <row r="122" spans="2:16">
      <c r="B122" s="112" t="s">
        <v>22</v>
      </c>
      <c r="C122" s="122">
        <v>426.3</v>
      </c>
      <c r="D122" s="122">
        <v>727.3</v>
      </c>
      <c r="E122" s="122">
        <v>196.5</v>
      </c>
      <c r="F122" s="122">
        <v>1878.6</v>
      </c>
      <c r="G122" s="122">
        <v>195.5</v>
      </c>
      <c r="H122" s="122">
        <v>0</v>
      </c>
      <c r="I122" s="122">
        <v>0</v>
      </c>
      <c r="J122" s="122">
        <v>661</v>
      </c>
      <c r="K122" s="122">
        <v>312.10000000000002</v>
      </c>
      <c r="L122" s="122">
        <v>2449.9</v>
      </c>
      <c r="M122" s="122">
        <v>733.3</v>
      </c>
      <c r="N122" s="122">
        <v>198</v>
      </c>
      <c r="O122" s="122">
        <v>849.6</v>
      </c>
      <c r="P122" s="122">
        <v>8628.1</v>
      </c>
    </row>
    <row r="123" spans="2:16">
      <c r="B123" s="112" t="s">
        <v>247</v>
      </c>
      <c r="C123" s="122">
        <v>0</v>
      </c>
      <c r="D123" s="122">
        <v>0</v>
      </c>
      <c r="E123" s="122">
        <v>0</v>
      </c>
      <c r="F123" s="122">
        <v>0</v>
      </c>
      <c r="G123" s="122">
        <v>0</v>
      </c>
      <c r="H123" s="122">
        <v>0</v>
      </c>
      <c r="I123" s="122">
        <v>0</v>
      </c>
      <c r="J123" s="122">
        <v>11465.7</v>
      </c>
      <c r="K123" s="122">
        <v>0</v>
      </c>
      <c r="L123" s="122">
        <v>0</v>
      </c>
      <c r="M123" s="122">
        <v>0</v>
      </c>
      <c r="N123" s="122">
        <v>2463.6</v>
      </c>
      <c r="O123" s="122">
        <v>0</v>
      </c>
      <c r="P123" s="122">
        <v>13929.3</v>
      </c>
    </row>
    <row r="124" spans="2:16">
      <c r="B124" s="112" t="s">
        <v>236</v>
      </c>
      <c r="C124" s="122">
        <v>952.9</v>
      </c>
      <c r="D124" s="122">
        <v>0</v>
      </c>
      <c r="E124" s="122">
        <v>0</v>
      </c>
      <c r="F124" s="122">
        <v>0</v>
      </c>
      <c r="G124" s="122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22">
        <v>0</v>
      </c>
      <c r="O124" s="122">
        <v>0</v>
      </c>
      <c r="P124" s="122">
        <v>952.9</v>
      </c>
    </row>
    <row r="125" spans="2:16">
      <c r="B125" s="112" t="s">
        <v>249</v>
      </c>
      <c r="C125" s="122">
        <v>0</v>
      </c>
      <c r="D125" s="122">
        <v>0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22">
        <v>0</v>
      </c>
      <c r="N125" s="122">
        <v>0</v>
      </c>
      <c r="O125" s="122">
        <v>0</v>
      </c>
      <c r="P125" s="122">
        <v>0</v>
      </c>
    </row>
    <row r="126" spans="2:16">
      <c r="B126" s="112" t="s">
        <v>241</v>
      </c>
      <c r="C126" s="122">
        <v>0</v>
      </c>
      <c r="D126" s="122">
        <v>0</v>
      </c>
      <c r="E126" s="122">
        <v>0</v>
      </c>
      <c r="F126" s="122">
        <v>0</v>
      </c>
      <c r="G126" s="122">
        <v>0</v>
      </c>
      <c r="H126" s="122">
        <v>0</v>
      </c>
      <c r="I126" s="122">
        <v>0</v>
      </c>
      <c r="J126" s="122">
        <v>0</v>
      </c>
      <c r="K126" s="122">
        <v>0</v>
      </c>
      <c r="L126" s="122">
        <v>0</v>
      </c>
      <c r="M126" s="122">
        <v>0</v>
      </c>
      <c r="N126" s="122">
        <v>0</v>
      </c>
      <c r="O126" s="122">
        <v>0</v>
      </c>
      <c r="P126" s="122">
        <v>0</v>
      </c>
    </row>
    <row r="127" spans="2:16">
      <c r="B127" s="112" t="s">
        <v>242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2">
        <v>0</v>
      </c>
      <c r="K127" s="122">
        <v>0</v>
      </c>
      <c r="L127" s="122">
        <v>0</v>
      </c>
      <c r="M127" s="122">
        <v>0</v>
      </c>
      <c r="N127" s="122">
        <v>0</v>
      </c>
      <c r="O127" s="122">
        <v>0</v>
      </c>
      <c r="P127" s="122">
        <v>0</v>
      </c>
    </row>
    <row r="128" spans="2:16">
      <c r="B128" s="112" t="s">
        <v>239</v>
      </c>
      <c r="C128" s="122">
        <v>4767</v>
      </c>
      <c r="D128" s="122">
        <v>10463.6</v>
      </c>
      <c r="E128" s="122">
        <v>8519.5</v>
      </c>
      <c r="F128" s="122">
        <v>7187.7</v>
      </c>
      <c r="G128" s="122">
        <v>525.79999999999995</v>
      </c>
      <c r="H128" s="122">
        <v>2688.1</v>
      </c>
      <c r="I128" s="122">
        <v>1707.9</v>
      </c>
      <c r="J128" s="122">
        <v>4580.3999999999996</v>
      </c>
      <c r="K128" s="122">
        <v>6456</v>
      </c>
      <c r="L128" s="122">
        <v>12070.5</v>
      </c>
      <c r="M128" s="122">
        <v>4804</v>
      </c>
      <c r="N128" s="122">
        <v>2519.6999999999998</v>
      </c>
      <c r="O128" s="122">
        <v>6709.7</v>
      </c>
      <c r="P128" s="122">
        <v>72999.899999999994</v>
      </c>
    </row>
    <row r="129" spans="2:16">
      <c r="B129" s="123" t="s">
        <v>0</v>
      </c>
      <c r="C129" s="124">
        <v>39763.199999999997</v>
      </c>
      <c r="D129" s="124">
        <v>47755.7</v>
      </c>
      <c r="E129" s="124">
        <v>37270.800000000003</v>
      </c>
      <c r="F129" s="124">
        <v>42128.4</v>
      </c>
      <c r="G129" s="124">
        <v>8661.6</v>
      </c>
      <c r="H129" s="124">
        <v>25259.7</v>
      </c>
      <c r="I129" s="124">
        <v>20989.7</v>
      </c>
      <c r="J129" s="124">
        <v>42425.1</v>
      </c>
      <c r="K129" s="124">
        <v>35082.1</v>
      </c>
      <c r="L129" s="124">
        <v>24632</v>
      </c>
      <c r="M129" s="124">
        <v>34513.9</v>
      </c>
      <c r="N129" s="124">
        <v>22309.1</v>
      </c>
      <c r="O129" s="124">
        <v>28542</v>
      </c>
      <c r="P129" s="124">
        <v>409333.3</v>
      </c>
    </row>
    <row r="130" spans="2:16">
      <c r="B130" s="112" t="s">
        <v>235</v>
      </c>
      <c r="C130" s="122">
        <v>0</v>
      </c>
      <c r="D130" s="122">
        <v>0</v>
      </c>
      <c r="E130" s="122">
        <v>0</v>
      </c>
      <c r="F130" s="122">
        <v>2132.8000000000002</v>
      </c>
      <c r="G130" s="122">
        <v>3265.4</v>
      </c>
      <c r="H130" s="122">
        <v>8244.2000000000007</v>
      </c>
      <c r="I130" s="122">
        <v>208.4</v>
      </c>
      <c r="J130" s="122">
        <v>3100.2</v>
      </c>
      <c r="K130" s="122">
        <v>0</v>
      </c>
      <c r="L130" s="122">
        <v>0</v>
      </c>
      <c r="M130" s="122">
        <v>376.2</v>
      </c>
      <c r="N130" s="122">
        <v>14289.6</v>
      </c>
      <c r="O130" s="122">
        <v>1420.9</v>
      </c>
      <c r="P130" s="122">
        <v>33037.699999999997</v>
      </c>
    </row>
    <row r="131" spans="2:16">
      <c r="B131" s="112" t="s">
        <v>26</v>
      </c>
      <c r="C131" s="122">
        <v>0</v>
      </c>
      <c r="D131" s="122">
        <v>40</v>
      </c>
      <c r="E131" s="122">
        <v>570.5</v>
      </c>
      <c r="F131" s="122">
        <v>1653.1</v>
      </c>
      <c r="G131" s="122">
        <v>16.7</v>
      </c>
      <c r="H131" s="122">
        <v>904.8</v>
      </c>
      <c r="I131" s="122">
        <v>783.8</v>
      </c>
      <c r="J131" s="122">
        <v>1575.6</v>
      </c>
      <c r="K131" s="122">
        <v>1898.2</v>
      </c>
      <c r="L131" s="122">
        <v>331</v>
      </c>
      <c r="M131" s="122">
        <v>910.9</v>
      </c>
      <c r="N131" s="122">
        <v>859.1</v>
      </c>
      <c r="O131" s="122">
        <v>0</v>
      </c>
      <c r="P131" s="122">
        <v>9543.7000000000007</v>
      </c>
    </row>
    <row r="132" spans="2:16">
      <c r="B132" s="112" t="s">
        <v>243</v>
      </c>
      <c r="C132" s="122">
        <v>1422.6</v>
      </c>
      <c r="D132" s="122">
        <v>929.7</v>
      </c>
      <c r="E132" s="122">
        <v>1413.2</v>
      </c>
      <c r="F132" s="122">
        <v>89.7</v>
      </c>
      <c r="G132" s="122">
        <v>18.399999999999999</v>
      </c>
      <c r="H132" s="122">
        <v>2.7</v>
      </c>
      <c r="I132" s="122">
        <v>39.5</v>
      </c>
      <c r="J132" s="122">
        <v>0</v>
      </c>
      <c r="K132" s="122">
        <v>24.2</v>
      </c>
      <c r="L132" s="122">
        <v>0</v>
      </c>
      <c r="M132" s="122">
        <v>0</v>
      </c>
      <c r="N132" s="122">
        <v>4696.2</v>
      </c>
      <c r="O132" s="122">
        <v>2021.5</v>
      </c>
      <c r="P132" s="122">
        <v>10657.7</v>
      </c>
    </row>
    <row r="133" spans="2:16">
      <c r="B133" s="112" t="s">
        <v>237</v>
      </c>
      <c r="C133" s="122">
        <v>46116.4</v>
      </c>
      <c r="D133" s="122">
        <v>39454.400000000001</v>
      </c>
      <c r="E133" s="122">
        <v>39702.400000000001</v>
      </c>
      <c r="F133" s="122">
        <v>22758.3</v>
      </c>
      <c r="G133" s="122">
        <v>3709.8</v>
      </c>
      <c r="H133" s="122">
        <v>6336.3</v>
      </c>
      <c r="I133" s="122">
        <v>20030</v>
      </c>
      <c r="J133" s="122">
        <v>51191.5</v>
      </c>
      <c r="K133" s="122">
        <v>49736.3</v>
      </c>
      <c r="L133" s="122">
        <v>101506.1</v>
      </c>
      <c r="M133" s="122">
        <v>52921.9</v>
      </c>
      <c r="N133" s="122">
        <v>28184.1</v>
      </c>
      <c r="O133" s="122">
        <v>27920</v>
      </c>
      <c r="P133" s="122">
        <v>489567.5</v>
      </c>
    </row>
    <row r="134" spans="2:16">
      <c r="B134" s="112" t="s">
        <v>245</v>
      </c>
      <c r="C134" s="122">
        <v>244.8</v>
      </c>
      <c r="D134" s="122">
        <v>0</v>
      </c>
      <c r="E134" s="122">
        <v>0</v>
      </c>
      <c r="F134" s="122">
        <v>0</v>
      </c>
      <c r="G134" s="122">
        <v>0</v>
      </c>
      <c r="H134" s="122">
        <v>0</v>
      </c>
      <c r="I134" s="122">
        <v>213.5</v>
      </c>
      <c r="J134" s="122">
        <v>0</v>
      </c>
      <c r="K134" s="122">
        <v>0</v>
      </c>
      <c r="L134" s="122">
        <v>204</v>
      </c>
      <c r="M134" s="122">
        <v>0</v>
      </c>
      <c r="N134" s="122">
        <v>0</v>
      </c>
      <c r="O134" s="122">
        <v>0</v>
      </c>
      <c r="P134" s="122">
        <v>662.3</v>
      </c>
    </row>
    <row r="135" spans="2:16">
      <c r="B135" s="112" t="s">
        <v>240</v>
      </c>
      <c r="C135" s="122">
        <v>7321.7</v>
      </c>
      <c r="D135" s="122">
        <v>2184.1999999999998</v>
      </c>
      <c r="E135" s="122">
        <v>4712.8999999999996</v>
      </c>
      <c r="F135" s="122">
        <v>1839.6</v>
      </c>
      <c r="G135" s="122">
        <v>10611</v>
      </c>
      <c r="H135" s="122">
        <v>978.8</v>
      </c>
      <c r="I135" s="122">
        <v>1049.8</v>
      </c>
      <c r="J135" s="122">
        <v>12.5</v>
      </c>
      <c r="K135" s="122">
        <v>105.1</v>
      </c>
      <c r="L135" s="122">
        <v>0</v>
      </c>
      <c r="M135" s="122">
        <v>42.8</v>
      </c>
      <c r="N135" s="122">
        <v>39780.1</v>
      </c>
      <c r="O135" s="122">
        <v>13875.8</v>
      </c>
      <c r="P135" s="122">
        <v>82514.3</v>
      </c>
    </row>
    <row r="136" spans="2:16">
      <c r="B136" s="112" t="s">
        <v>22</v>
      </c>
      <c r="C136" s="122">
        <v>3856.5</v>
      </c>
      <c r="D136" s="122">
        <v>1791.1</v>
      </c>
      <c r="E136" s="122">
        <v>426.9</v>
      </c>
      <c r="F136" s="122">
        <v>206.1</v>
      </c>
      <c r="G136" s="122">
        <v>1.6</v>
      </c>
      <c r="H136" s="122">
        <v>40</v>
      </c>
      <c r="I136" s="122">
        <v>0</v>
      </c>
      <c r="J136" s="122">
        <v>0</v>
      </c>
      <c r="K136" s="122">
        <v>0</v>
      </c>
      <c r="L136" s="122">
        <v>106.7</v>
      </c>
      <c r="M136" s="122">
        <v>0</v>
      </c>
      <c r="N136" s="122">
        <v>7974.2</v>
      </c>
      <c r="O136" s="122">
        <v>2396.1</v>
      </c>
      <c r="P136" s="122">
        <v>16799.2</v>
      </c>
    </row>
    <row r="137" spans="2:16">
      <c r="B137" s="112" t="s">
        <v>236</v>
      </c>
      <c r="C137" s="122">
        <v>133</v>
      </c>
      <c r="D137" s="122">
        <v>107.5</v>
      </c>
      <c r="E137" s="122">
        <v>339.1</v>
      </c>
      <c r="F137" s="122">
        <v>0</v>
      </c>
      <c r="G137" s="122">
        <v>0</v>
      </c>
      <c r="H137" s="122">
        <v>0</v>
      </c>
      <c r="I137" s="122">
        <v>0</v>
      </c>
      <c r="J137" s="122">
        <v>0</v>
      </c>
      <c r="K137" s="122">
        <v>0</v>
      </c>
      <c r="L137" s="122">
        <v>0</v>
      </c>
      <c r="M137" s="122">
        <v>0</v>
      </c>
      <c r="N137" s="122">
        <v>28.6</v>
      </c>
      <c r="O137" s="122">
        <v>21.7</v>
      </c>
      <c r="P137" s="122">
        <v>629.9</v>
      </c>
    </row>
    <row r="138" spans="2:16">
      <c r="B138" s="112" t="s">
        <v>249</v>
      </c>
      <c r="C138" s="122">
        <v>241.6</v>
      </c>
      <c r="D138" s="122">
        <v>112.3</v>
      </c>
      <c r="E138" s="122">
        <v>87.1</v>
      </c>
      <c r="F138" s="122">
        <v>0</v>
      </c>
      <c r="G138" s="122">
        <v>0</v>
      </c>
      <c r="H138" s="122">
        <v>0</v>
      </c>
      <c r="I138" s="122">
        <v>0</v>
      </c>
      <c r="J138" s="122">
        <v>0</v>
      </c>
      <c r="K138" s="122">
        <v>0</v>
      </c>
      <c r="L138" s="122">
        <v>0</v>
      </c>
      <c r="M138" s="122">
        <v>0</v>
      </c>
      <c r="N138" s="122">
        <v>224.9</v>
      </c>
      <c r="O138" s="122">
        <v>98.3</v>
      </c>
      <c r="P138" s="122">
        <v>764.2</v>
      </c>
    </row>
    <row r="139" spans="2:16">
      <c r="B139" s="112" t="s">
        <v>241</v>
      </c>
      <c r="C139" s="122">
        <v>261</v>
      </c>
      <c r="D139" s="122">
        <v>141</v>
      </c>
      <c r="E139" s="122">
        <v>9.1</v>
      </c>
      <c r="F139" s="122">
        <v>8.1999999999999993</v>
      </c>
      <c r="G139" s="122">
        <v>0</v>
      </c>
      <c r="H139" s="122">
        <v>0</v>
      </c>
      <c r="I139" s="122">
        <v>0</v>
      </c>
      <c r="J139" s="122">
        <v>0</v>
      </c>
      <c r="K139" s="122">
        <v>0.1</v>
      </c>
      <c r="L139" s="122">
        <v>0</v>
      </c>
      <c r="M139" s="122">
        <v>0</v>
      </c>
      <c r="N139" s="122">
        <v>0</v>
      </c>
      <c r="O139" s="122">
        <v>0</v>
      </c>
      <c r="P139" s="122">
        <v>419.4</v>
      </c>
    </row>
    <row r="140" spans="2:16">
      <c r="B140" s="112" t="s">
        <v>242</v>
      </c>
      <c r="C140" s="122">
        <v>1246</v>
      </c>
      <c r="D140" s="122">
        <v>584.1</v>
      </c>
      <c r="E140" s="122">
        <v>19.100000000000001</v>
      </c>
      <c r="F140" s="122">
        <v>112.5</v>
      </c>
      <c r="G140" s="122">
        <v>0</v>
      </c>
      <c r="H140" s="122">
        <v>0</v>
      </c>
      <c r="I140" s="122">
        <v>34.200000000000003</v>
      </c>
      <c r="J140" s="122">
        <v>0</v>
      </c>
      <c r="K140" s="122">
        <v>0</v>
      </c>
      <c r="L140" s="122">
        <v>0</v>
      </c>
      <c r="M140" s="122">
        <v>0</v>
      </c>
      <c r="N140" s="122">
        <v>0</v>
      </c>
      <c r="O140" s="122">
        <v>224.2</v>
      </c>
      <c r="P140" s="122">
        <v>2220.1</v>
      </c>
    </row>
    <row r="141" spans="2:16">
      <c r="B141" s="112" t="s">
        <v>239</v>
      </c>
      <c r="C141" s="122">
        <v>2583.9</v>
      </c>
      <c r="D141" s="122">
        <v>4128.8</v>
      </c>
      <c r="E141" s="122">
        <v>1985.9</v>
      </c>
      <c r="F141" s="122">
        <v>1136.7</v>
      </c>
      <c r="G141" s="122">
        <v>36.6</v>
      </c>
      <c r="H141" s="122">
        <v>211.7</v>
      </c>
      <c r="I141" s="122">
        <v>399.9</v>
      </c>
      <c r="J141" s="122">
        <v>347.6</v>
      </c>
      <c r="K141" s="122">
        <v>619.4</v>
      </c>
      <c r="L141" s="122">
        <v>462.2</v>
      </c>
      <c r="M141" s="122">
        <v>1542.2</v>
      </c>
      <c r="N141" s="122">
        <v>110.8</v>
      </c>
      <c r="O141" s="122">
        <v>474.7</v>
      </c>
      <c r="P141" s="122">
        <v>14040.4</v>
      </c>
    </row>
    <row r="142" spans="2:16">
      <c r="B142" s="123" t="s">
        <v>0</v>
      </c>
      <c r="C142" s="124">
        <v>63427.5</v>
      </c>
      <c r="D142" s="124">
        <v>49473.1</v>
      </c>
      <c r="E142" s="124">
        <v>49266.2</v>
      </c>
      <c r="F142" s="124">
        <v>29937</v>
      </c>
      <c r="G142" s="124">
        <v>17659.5</v>
      </c>
      <c r="H142" s="124">
        <v>16718.5</v>
      </c>
      <c r="I142" s="124">
        <v>22759.1</v>
      </c>
      <c r="J142" s="124">
        <v>56227.4</v>
      </c>
      <c r="K142" s="124">
        <v>52383.3</v>
      </c>
      <c r="L142" s="124">
        <v>102610</v>
      </c>
      <c r="M142" s="124">
        <v>55794</v>
      </c>
      <c r="N142" s="124">
        <v>96147.6</v>
      </c>
      <c r="O142" s="124">
        <v>48453.2</v>
      </c>
      <c r="P142" s="124">
        <v>660856.4</v>
      </c>
    </row>
    <row r="143" spans="2:16">
      <c r="B143" s="123"/>
      <c r="C143" s="184">
        <v>103190.7</v>
      </c>
      <c r="D143" s="184">
        <v>97228.800000000003</v>
      </c>
      <c r="E143" s="184">
        <v>86537</v>
      </c>
      <c r="F143" s="184">
        <v>72065.399999999994</v>
      </c>
      <c r="G143" s="184">
        <v>26321.1</v>
      </c>
      <c r="H143" s="184">
        <v>41978.2</v>
      </c>
      <c r="I143" s="184">
        <v>43748.800000000003</v>
      </c>
      <c r="J143" s="184">
        <v>98652.5</v>
      </c>
      <c r="K143" s="184">
        <v>87465.4</v>
      </c>
      <c r="L143" s="184">
        <v>127242</v>
      </c>
      <c r="M143" s="184">
        <v>90307.9</v>
      </c>
      <c r="N143" s="184">
        <v>118456.7</v>
      </c>
      <c r="O143" s="184">
        <v>76995.199999999997</v>
      </c>
      <c r="P143" s="184">
        <v>1070189.7</v>
      </c>
    </row>
    <row r="144" spans="2:16">
      <c r="B144" s="11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</row>
    <row r="145" spans="2:16">
      <c r="B145" s="148" t="s">
        <v>159</v>
      </c>
      <c r="C145" s="177">
        <v>99.744870211700004</v>
      </c>
      <c r="D145" s="177">
        <v>92.796868855400007</v>
      </c>
      <c r="E145" s="177">
        <v>85.641688235700002</v>
      </c>
      <c r="F145" s="177">
        <v>72.567504581199998</v>
      </c>
      <c r="G145" s="177">
        <v>57.729230165300002</v>
      </c>
      <c r="H145" s="177">
        <v>79.770314770200002</v>
      </c>
      <c r="I145" s="177">
        <v>121.30970936609999</v>
      </c>
      <c r="J145" s="177">
        <v>134.83571758439999</v>
      </c>
      <c r="K145" s="177">
        <v>133.8397772653</v>
      </c>
      <c r="L145" s="177">
        <v>113.31356325110001</v>
      </c>
      <c r="M145" s="177">
        <v>162.96642019590001</v>
      </c>
      <c r="N145" s="177">
        <v>103.35827039190001</v>
      </c>
      <c r="O145" s="177">
        <v>110.2333782116</v>
      </c>
      <c r="P145" s="148"/>
    </row>
    <row r="146" spans="2:16">
      <c r="B146" s="149" t="s">
        <v>160</v>
      </c>
      <c r="C146" s="178">
        <v>13.818519943</v>
      </c>
      <c r="D146" s="178">
        <v>13.8886613129</v>
      </c>
      <c r="E146" s="178">
        <v>14.3992637955</v>
      </c>
      <c r="F146" s="178">
        <v>25.761619400699999</v>
      </c>
      <c r="G146" s="178">
        <v>8.3765287804999993</v>
      </c>
      <c r="H146" s="178">
        <v>14.8942357269</v>
      </c>
      <c r="I146" s="178">
        <v>28.596647239399999</v>
      </c>
      <c r="J146" s="178">
        <v>33.966924844499999</v>
      </c>
      <c r="K146" s="178">
        <v>38.3508465484</v>
      </c>
      <c r="L146" s="178">
        <v>37.917982149499998</v>
      </c>
      <c r="M146" s="178">
        <v>45.532258665800001</v>
      </c>
      <c r="N146" s="178">
        <v>12.5385350232</v>
      </c>
      <c r="O146" s="178">
        <v>19.789182138600001</v>
      </c>
      <c r="P146" s="149"/>
    </row>
    <row r="147" spans="2:16" ht="15"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17"/>
    </row>
    <row r="148" spans="2:16" ht="15">
      <c r="B148" s="121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17"/>
    </row>
    <row r="149" spans="2:16" ht="15"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17"/>
    </row>
    <row r="150" spans="2:16" ht="15"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17"/>
    </row>
    <row r="151" spans="2:16" ht="15">
      <c r="B151" s="121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12" t="s">
        <v>73</v>
      </c>
      <c r="O151" s="175">
        <f>(O129-C129)/C129</f>
        <v>-0.28220062771607912</v>
      </c>
      <c r="P151" s="117"/>
    </row>
    <row r="152" spans="2:16" ht="15"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12" t="s">
        <v>74</v>
      </c>
      <c r="O152" s="175">
        <f>(O143-C143)/C143</f>
        <v>-0.25385524083081129</v>
      </c>
      <c r="P152" s="117"/>
    </row>
    <row r="153" spans="2:16" ht="15">
      <c r="B153" s="121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12" t="s">
        <v>77</v>
      </c>
      <c r="O153" s="175">
        <f>((O129+O142)-(C129+C142))/(C129+C142)</f>
        <v>-0.25385524083081129</v>
      </c>
      <c r="P153" s="117"/>
    </row>
    <row r="154" spans="2:16" ht="15"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12" t="s">
        <v>71</v>
      </c>
      <c r="O154" s="175">
        <f>(O145-C145)/C145</f>
        <v>0.10515335753747564</v>
      </c>
      <c r="P154" s="117"/>
    </row>
    <row r="155" spans="2:16" ht="15"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12" t="s">
        <v>72</v>
      </c>
      <c r="O155" s="175">
        <f>(O146-C146)/C146</f>
        <v>0.4320768230048066</v>
      </c>
      <c r="P155" s="117"/>
    </row>
    <row r="157" spans="2:16">
      <c r="B157" s="109" t="s">
        <v>158</v>
      </c>
    </row>
    <row r="158" spans="2:16">
      <c r="B158" s="111" t="s">
        <v>32</v>
      </c>
      <c r="C158" s="111" t="s">
        <v>135</v>
      </c>
      <c r="D158" s="111" t="s">
        <v>135</v>
      </c>
      <c r="E158" s="111" t="s">
        <v>135</v>
      </c>
      <c r="F158" s="111" t="s">
        <v>135</v>
      </c>
      <c r="G158" s="111" t="s">
        <v>135</v>
      </c>
      <c r="H158" s="111" t="s">
        <v>135</v>
      </c>
      <c r="I158" s="111" t="s">
        <v>135</v>
      </c>
      <c r="J158" s="111" t="s">
        <v>135</v>
      </c>
      <c r="K158" s="111" t="s">
        <v>135</v>
      </c>
      <c r="L158" s="111" t="s">
        <v>135</v>
      </c>
      <c r="M158" s="111" t="s">
        <v>135</v>
      </c>
      <c r="N158" s="111" t="s">
        <v>135</v>
      </c>
      <c r="O158" s="111" t="s">
        <v>135</v>
      </c>
    </row>
    <row r="159" spans="2:16">
      <c r="B159" s="111" t="s">
        <v>121</v>
      </c>
      <c r="C159" s="111" t="s">
        <v>208</v>
      </c>
      <c r="D159" s="111" t="s">
        <v>209</v>
      </c>
      <c r="E159" s="111" t="s">
        <v>210</v>
      </c>
      <c r="F159" s="111" t="s">
        <v>211</v>
      </c>
      <c r="G159" s="111" t="s">
        <v>212</v>
      </c>
      <c r="H159" s="111" t="s">
        <v>213</v>
      </c>
      <c r="I159" s="111" t="s">
        <v>214</v>
      </c>
      <c r="J159" s="111" t="s">
        <v>215</v>
      </c>
      <c r="K159" s="111" t="s">
        <v>216</v>
      </c>
      <c r="L159" s="111" t="s">
        <v>103</v>
      </c>
      <c r="M159" s="111" t="s">
        <v>217</v>
      </c>
      <c r="N159" s="111" t="s">
        <v>218</v>
      </c>
      <c r="O159" s="111" t="s">
        <v>219</v>
      </c>
    </row>
    <row r="160" spans="2:16">
      <c r="B160" s="111" t="s">
        <v>126</v>
      </c>
      <c r="C160" s="111" t="s">
        <v>7</v>
      </c>
      <c r="D160" s="111" t="s">
        <v>8</v>
      </c>
      <c r="E160" s="111" t="s">
        <v>7</v>
      </c>
      <c r="F160" s="111" t="s">
        <v>9</v>
      </c>
      <c r="G160" s="111" t="s">
        <v>9</v>
      </c>
      <c r="H160" s="111" t="s">
        <v>8</v>
      </c>
      <c r="I160" s="111" t="s">
        <v>10</v>
      </c>
      <c r="J160" s="111" t="s">
        <v>11</v>
      </c>
      <c r="K160" s="111" t="s">
        <v>12</v>
      </c>
      <c r="L160" s="111" t="s">
        <v>13</v>
      </c>
      <c r="M160" s="111" t="s">
        <v>5</v>
      </c>
      <c r="N160" s="111" t="s">
        <v>6</v>
      </c>
      <c r="O160" s="111" t="s">
        <v>7</v>
      </c>
    </row>
    <row r="161" spans="2:15">
      <c r="B161" s="112" t="s">
        <v>244</v>
      </c>
      <c r="C161" s="122">
        <v>0</v>
      </c>
      <c r="D161" s="122">
        <v>0</v>
      </c>
      <c r="E161" s="122">
        <v>0</v>
      </c>
      <c r="F161" s="122">
        <v>0</v>
      </c>
      <c r="G161" s="122">
        <v>0</v>
      </c>
      <c r="H161" s="122">
        <v>0</v>
      </c>
      <c r="I161" s="122">
        <v>0</v>
      </c>
      <c r="J161" s="122">
        <v>0</v>
      </c>
      <c r="K161" s="122">
        <v>0</v>
      </c>
      <c r="L161" s="122">
        <v>0</v>
      </c>
      <c r="M161" s="122">
        <v>0</v>
      </c>
      <c r="N161" s="122">
        <v>0</v>
      </c>
      <c r="O161" s="122">
        <v>0</v>
      </c>
    </row>
    <row r="162" spans="2:15">
      <c r="B162" s="112" t="s">
        <v>235</v>
      </c>
      <c r="C162" s="122">
        <v>63887.5</v>
      </c>
      <c r="D162" s="122">
        <v>26224.400000000001</v>
      </c>
      <c r="E162" s="122">
        <v>115140.8</v>
      </c>
      <c r="F162" s="122">
        <v>1863</v>
      </c>
      <c r="G162" s="122">
        <v>0</v>
      </c>
      <c r="H162" s="122">
        <v>0</v>
      </c>
      <c r="I162" s="122">
        <v>0</v>
      </c>
      <c r="J162" s="122">
        <v>34726.1</v>
      </c>
      <c r="K162" s="122">
        <v>23135.1</v>
      </c>
      <c r="L162" s="122">
        <v>5215.5</v>
      </c>
      <c r="M162" s="122">
        <v>5325.4</v>
      </c>
      <c r="N162" s="122">
        <v>1383.6</v>
      </c>
      <c r="O162" s="122">
        <v>6612.9</v>
      </c>
    </row>
    <row r="163" spans="2:15">
      <c r="B163" s="112" t="s">
        <v>26</v>
      </c>
      <c r="C163" s="122">
        <v>236337.4</v>
      </c>
      <c r="D163" s="122">
        <v>216603.9</v>
      </c>
      <c r="E163" s="122">
        <v>176958.3</v>
      </c>
      <c r="F163" s="122">
        <v>1250.7</v>
      </c>
      <c r="G163" s="122">
        <v>0</v>
      </c>
      <c r="H163" s="122">
        <v>0</v>
      </c>
      <c r="I163" s="122">
        <v>19356.8</v>
      </c>
      <c r="J163" s="122">
        <v>332294.3</v>
      </c>
      <c r="K163" s="122">
        <v>196729.3</v>
      </c>
      <c r="L163" s="122">
        <v>112859.3</v>
      </c>
      <c r="M163" s="122">
        <v>179227.5</v>
      </c>
      <c r="N163" s="122">
        <v>10714</v>
      </c>
      <c r="O163" s="122">
        <v>64802.400000000001</v>
      </c>
    </row>
    <row r="164" spans="2:15">
      <c r="B164" s="112" t="s">
        <v>243</v>
      </c>
      <c r="C164" s="122">
        <v>0</v>
      </c>
      <c r="D164" s="122">
        <v>0</v>
      </c>
      <c r="E164" s="122">
        <v>0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22">
        <v>0</v>
      </c>
      <c r="N164" s="122">
        <v>0</v>
      </c>
      <c r="O164" s="122">
        <v>0</v>
      </c>
    </row>
    <row r="165" spans="2:15">
      <c r="B165" s="112" t="s">
        <v>237</v>
      </c>
      <c r="C165" s="122">
        <v>0</v>
      </c>
      <c r="D165" s="122">
        <v>0</v>
      </c>
      <c r="E165" s="122">
        <v>0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22">
        <v>0</v>
      </c>
      <c r="N165" s="122">
        <v>0</v>
      </c>
      <c r="O165" s="122">
        <v>0</v>
      </c>
    </row>
    <row r="166" spans="2:15">
      <c r="B166" s="112" t="s">
        <v>245</v>
      </c>
      <c r="C166" s="122">
        <v>0</v>
      </c>
      <c r="D166" s="122">
        <v>0</v>
      </c>
      <c r="E166" s="122">
        <v>0</v>
      </c>
      <c r="F166" s="122">
        <v>0</v>
      </c>
      <c r="G166" s="122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22">
        <v>0</v>
      </c>
      <c r="N166" s="122">
        <v>0</v>
      </c>
      <c r="O166" s="122">
        <v>0</v>
      </c>
    </row>
    <row r="167" spans="2:15">
      <c r="B167" s="112" t="s">
        <v>240</v>
      </c>
      <c r="C167" s="122">
        <v>0</v>
      </c>
      <c r="D167" s="122">
        <v>0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  <c r="J167" s="122">
        <v>0</v>
      </c>
      <c r="K167" s="122">
        <v>0</v>
      </c>
      <c r="L167" s="122">
        <v>0</v>
      </c>
      <c r="M167" s="122">
        <v>0</v>
      </c>
      <c r="N167" s="122">
        <v>0</v>
      </c>
      <c r="O167" s="122">
        <v>0</v>
      </c>
    </row>
    <row r="168" spans="2:15">
      <c r="B168" s="112" t="s">
        <v>246</v>
      </c>
      <c r="C168" s="122">
        <v>0</v>
      </c>
      <c r="D168" s="122">
        <v>0</v>
      </c>
      <c r="E168" s="122">
        <v>0</v>
      </c>
      <c r="F168" s="122">
        <v>0</v>
      </c>
      <c r="G168" s="122">
        <v>0</v>
      </c>
      <c r="H168" s="122">
        <v>0</v>
      </c>
      <c r="I168" s="122">
        <v>0</v>
      </c>
      <c r="J168" s="122">
        <v>0</v>
      </c>
      <c r="K168" s="122">
        <v>0</v>
      </c>
      <c r="L168" s="122">
        <v>0</v>
      </c>
      <c r="M168" s="122">
        <v>0</v>
      </c>
      <c r="N168" s="122">
        <v>0</v>
      </c>
      <c r="O168" s="122">
        <v>0</v>
      </c>
    </row>
    <row r="169" spans="2:15">
      <c r="B169" s="112" t="s">
        <v>22</v>
      </c>
      <c r="C169" s="122">
        <v>0</v>
      </c>
      <c r="D169" s="122">
        <v>0</v>
      </c>
      <c r="E169" s="122">
        <v>0</v>
      </c>
      <c r="F169" s="122">
        <v>0</v>
      </c>
      <c r="G169" s="122">
        <v>0</v>
      </c>
      <c r="H169" s="122">
        <v>0</v>
      </c>
      <c r="I169" s="122">
        <v>0</v>
      </c>
      <c r="J169" s="122">
        <v>0</v>
      </c>
      <c r="K169" s="122">
        <v>0</v>
      </c>
      <c r="L169" s="122">
        <v>0</v>
      </c>
      <c r="M169" s="122">
        <v>0</v>
      </c>
      <c r="N169" s="122">
        <v>0</v>
      </c>
      <c r="O169" s="122">
        <v>0</v>
      </c>
    </row>
    <row r="170" spans="2:15">
      <c r="B170" s="112" t="s">
        <v>247</v>
      </c>
      <c r="C170" s="122">
        <v>0</v>
      </c>
      <c r="D170" s="122">
        <v>0</v>
      </c>
      <c r="E170" s="122">
        <v>0</v>
      </c>
      <c r="F170" s="122">
        <v>0</v>
      </c>
      <c r="G170" s="122">
        <v>0</v>
      </c>
      <c r="H170" s="122">
        <v>0</v>
      </c>
      <c r="I170" s="122">
        <v>0</v>
      </c>
      <c r="J170" s="122">
        <v>0</v>
      </c>
      <c r="K170" s="122">
        <v>0</v>
      </c>
      <c r="L170" s="122">
        <v>0</v>
      </c>
      <c r="M170" s="122">
        <v>0</v>
      </c>
      <c r="N170" s="122">
        <v>0</v>
      </c>
      <c r="O170" s="122">
        <v>0</v>
      </c>
    </row>
    <row r="171" spans="2:15">
      <c r="B171" s="112" t="s">
        <v>248</v>
      </c>
      <c r="C171" s="122">
        <v>0</v>
      </c>
      <c r="D171" s="122">
        <v>0</v>
      </c>
      <c r="E171" s="122">
        <v>0</v>
      </c>
      <c r="F171" s="122">
        <v>0</v>
      </c>
      <c r="G171" s="122">
        <v>0</v>
      </c>
      <c r="H171" s="122">
        <v>0</v>
      </c>
      <c r="I171" s="122">
        <v>0</v>
      </c>
      <c r="J171" s="122">
        <v>0</v>
      </c>
      <c r="K171" s="122">
        <v>0</v>
      </c>
      <c r="L171" s="122">
        <v>0</v>
      </c>
      <c r="M171" s="122">
        <v>0</v>
      </c>
      <c r="N171" s="122">
        <v>0</v>
      </c>
      <c r="O171" s="122">
        <v>0</v>
      </c>
    </row>
    <row r="172" spans="2:15">
      <c r="B172" s="112" t="s">
        <v>236</v>
      </c>
      <c r="C172" s="122">
        <v>0</v>
      </c>
      <c r="D172" s="122">
        <v>0</v>
      </c>
      <c r="E172" s="122">
        <v>0</v>
      </c>
      <c r="F172" s="122">
        <v>0</v>
      </c>
      <c r="G172" s="122">
        <v>0</v>
      </c>
      <c r="H172" s="122">
        <v>0</v>
      </c>
      <c r="I172" s="122">
        <v>0</v>
      </c>
      <c r="J172" s="122">
        <v>0</v>
      </c>
      <c r="K172" s="122">
        <v>0</v>
      </c>
      <c r="L172" s="122">
        <v>0</v>
      </c>
      <c r="M172" s="122">
        <v>0</v>
      </c>
      <c r="N172" s="122">
        <v>0</v>
      </c>
      <c r="O172" s="122">
        <v>0</v>
      </c>
    </row>
    <row r="173" spans="2:15">
      <c r="B173" s="112" t="s">
        <v>249</v>
      </c>
      <c r="C173" s="122">
        <v>0</v>
      </c>
      <c r="D173" s="122">
        <v>0</v>
      </c>
      <c r="E173" s="122">
        <v>0</v>
      </c>
      <c r="F173" s="122">
        <v>0</v>
      </c>
      <c r="G173" s="122">
        <v>0</v>
      </c>
      <c r="H173" s="122">
        <v>0</v>
      </c>
      <c r="I173" s="122">
        <v>0</v>
      </c>
      <c r="J173" s="122">
        <v>0</v>
      </c>
      <c r="K173" s="122">
        <v>0</v>
      </c>
      <c r="L173" s="122">
        <v>0</v>
      </c>
      <c r="M173" s="122">
        <v>0</v>
      </c>
      <c r="N173" s="122">
        <v>0</v>
      </c>
      <c r="O173" s="122">
        <v>0</v>
      </c>
    </row>
    <row r="174" spans="2:15">
      <c r="B174" s="112" t="s">
        <v>241</v>
      </c>
      <c r="C174" s="122">
        <v>0</v>
      </c>
      <c r="D174" s="122">
        <v>0</v>
      </c>
      <c r="E174" s="122">
        <v>0</v>
      </c>
      <c r="F174" s="122">
        <v>0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0</v>
      </c>
      <c r="N174" s="122">
        <v>0</v>
      </c>
      <c r="O174" s="122">
        <v>0</v>
      </c>
    </row>
    <row r="175" spans="2:15">
      <c r="B175" s="112" t="s">
        <v>242</v>
      </c>
      <c r="C175" s="122">
        <v>0</v>
      </c>
      <c r="D175" s="122">
        <v>0</v>
      </c>
      <c r="E175" s="122">
        <v>0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0</v>
      </c>
      <c r="M175" s="122">
        <v>0</v>
      </c>
      <c r="N175" s="122">
        <v>0</v>
      </c>
      <c r="O175" s="122">
        <v>0</v>
      </c>
    </row>
    <row r="176" spans="2:15">
      <c r="B176" s="112" t="s">
        <v>239</v>
      </c>
      <c r="C176" s="122">
        <v>0</v>
      </c>
      <c r="D176" s="122">
        <v>0</v>
      </c>
      <c r="E176" s="122">
        <v>0</v>
      </c>
      <c r="F176" s="122">
        <v>0</v>
      </c>
      <c r="G176" s="122">
        <v>0</v>
      </c>
      <c r="H176" s="122">
        <v>0</v>
      </c>
      <c r="I176" s="122">
        <v>0</v>
      </c>
      <c r="J176" s="122">
        <v>0</v>
      </c>
      <c r="K176" s="122">
        <v>0</v>
      </c>
      <c r="L176" s="122">
        <v>0</v>
      </c>
      <c r="M176" s="122">
        <v>0</v>
      </c>
      <c r="N176" s="122">
        <v>0</v>
      </c>
      <c r="O176" s="122">
        <v>0</v>
      </c>
    </row>
    <row r="177" spans="2:15">
      <c r="B177" s="112" t="s">
        <v>159</v>
      </c>
      <c r="C177" s="178">
        <v>27.33270774675918</v>
      </c>
      <c r="D177" s="178">
        <v>24.68469078768825</v>
      </c>
      <c r="E177" s="178">
        <v>21.121754466206841</v>
      </c>
      <c r="F177" s="178">
        <v>15.350004817419791</v>
      </c>
      <c r="G177" s="178" t="s">
        <v>193</v>
      </c>
      <c r="H177" s="178" t="s">
        <v>193</v>
      </c>
      <c r="I177" s="178">
        <v>24.21656885435609</v>
      </c>
      <c r="J177" s="178">
        <v>14.40842994013412</v>
      </c>
      <c r="K177" s="178">
        <v>14.486918722548889</v>
      </c>
      <c r="L177" s="178">
        <v>14.401166379278219</v>
      </c>
      <c r="M177" s="178">
        <v>35.270028485057672</v>
      </c>
      <c r="N177" s="178">
        <v>27.78792653088216</v>
      </c>
      <c r="O177" s="178">
        <v>22.16955848396632</v>
      </c>
    </row>
  </sheetData>
  <mergeCells count="1">
    <mergeCell ref="B70:B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BF71"/>
  <sheetViews>
    <sheetView showGridLines="0" showRowColHeaders="0" topLeftCell="B1" zoomScaleNormal="100" workbookViewId="0">
      <selection activeCell="Q19" sqref="Q19"/>
    </sheetView>
  </sheetViews>
  <sheetFormatPr baseColWidth="10" defaultColWidth="10.85546875" defaultRowHeight="10.5"/>
  <cols>
    <col min="1" max="1" width="10.85546875" style="45" hidden="1" customWidth="1"/>
    <col min="2" max="2" width="2.5703125" style="45" customWidth="1"/>
    <col min="3" max="3" width="23.7109375" style="45" customWidth="1"/>
    <col min="4" max="4" width="2.7109375" style="45" customWidth="1"/>
    <col min="5" max="38" width="10.85546875" style="45" customWidth="1"/>
    <col min="39" max="58" width="10.85546875" style="52" customWidth="1"/>
    <col min="59" max="16384" width="10.85546875" style="45"/>
  </cols>
  <sheetData>
    <row r="2" spans="3:12" ht="12.75">
      <c r="C2" s="1"/>
      <c r="D2" s="1"/>
      <c r="L2" s="20" t="s">
        <v>37</v>
      </c>
    </row>
    <row r="3" spans="3:12" ht="12.75">
      <c r="C3" s="1"/>
      <c r="D3" s="1"/>
      <c r="L3" s="21" t="s">
        <v>194</v>
      </c>
    </row>
    <row r="4" spans="3:12" ht="12.75">
      <c r="C4" s="22" t="s">
        <v>36</v>
      </c>
    </row>
    <row r="5" spans="3:12" ht="11.25">
      <c r="C5" s="4"/>
    </row>
    <row r="6" spans="3:12" ht="11.25">
      <c r="C6" s="5"/>
    </row>
    <row r="7" spans="3:12" ht="10.5" customHeight="1">
      <c r="C7" s="186" t="s">
        <v>49</v>
      </c>
    </row>
    <row r="8" spans="3:12" ht="10.5" customHeight="1">
      <c r="C8" s="186"/>
    </row>
    <row r="9" spans="3:12" ht="10.5" customHeight="1">
      <c r="C9" s="62" t="s">
        <v>16</v>
      </c>
    </row>
    <row r="10" spans="3:12" ht="10.5" customHeight="1"/>
    <row r="11" spans="3:12" ht="10.5" customHeight="1">
      <c r="C11" s="62"/>
    </row>
    <row r="12" spans="3:12" ht="10.5" customHeight="1">
      <c r="C12" s="62"/>
    </row>
    <row r="30" spans="9:58">
      <c r="I30" s="44"/>
      <c r="AL30" s="52"/>
      <c r="BF30" s="45"/>
    </row>
    <row r="31" spans="9:58">
      <c r="AL31" s="52"/>
      <c r="BF31" s="45"/>
    </row>
    <row r="32" spans="9:58">
      <c r="I32" s="47"/>
      <c r="M32" s="47"/>
      <c r="AL32" s="52"/>
      <c r="BF32" s="45"/>
    </row>
    <row r="33" spans="9:58">
      <c r="I33" s="47"/>
      <c r="M33" s="47"/>
      <c r="AL33" s="52"/>
      <c r="BF33" s="45"/>
    </row>
    <row r="34" spans="9:58">
      <c r="I34" s="47"/>
      <c r="M34" s="48"/>
      <c r="AL34" s="52"/>
      <c r="BF34" s="45"/>
    </row>
    <row r="35" spans="9:58">
      <c r="I35" s="47"/>
      <c r="M35" s="48"/>
      <c r="AL35" s="52"/>
      <c r="BF35" s="45"/>
    </row>
    <row r="36" spans="9:58">
      <c r="I36" s="47"/>
      <c r="M36" s="48"/>
      <c r="AL36" s="52"/>
      <c r="BF36" s="45"/>
    </row>
    <row r="37" spans="9:58">
      <c r="I37" s="47"/>
      <c r="AL37" s="52"/>
      <c r="BF37" s="45"/>
    </row>
    <row r="38" spans="9:58">
      <c r="I38" s="47"/>
      <c r="AL38" s="52"/>
      <c r="BF38" s="45"/>
    </row>
    <row r="39" spans="9:58">
      <c r="I39" s="47"/>
      <c r="AL39" s="52"/>
      <c r="BF39" s="45"/>
    </row>
    <row r="40" spans="9:58">
      <c r="I40" s="47"/>
      <c r="M40" s="49"/>
      <c r="AL40" s="52"/>
      <c r="BF40" s="45"/>
    </row>
    <row r="41" spans="9:58">
      <c r="I41" s="47"/>
      <c r="M41" s="49"/>
      <c r="AL41" s="52"/>
      <c r="BF41" s="45"/>
    </row>
    <row r="42" spans="9:58">
      <c r="I42" s="47"/>
      <c r="AL42" s="52"/>
      <c r="BF42" s="45"/>
    </row>
    <row r="43" spans="9:58">
      <c r="I43" s="47"/>
      <c r="AL43" s="52"/>
      <c r="BF43" s="45"/>
    </row>
    <row r="44" spans="9:58">
      <c r="I44" s="47"/>
      <c r="M44" s="49"/>
      <c r="AL44" s="52"/>
      <c r="BF44" s="45"/>
    </row>
    <row r="45" spans="9:58">
      <c r="I45" s="47"/>
      <c r="O45" s="47"/>
      <c r="AL45" s="52"/>
      <c r="BF45" s="45"/>
    </row>
    <row r="46" spans="9:58">
      <c r="I46" s="47"/>
      <c r="P46" s="47"/>
      <c r="AL46" s="52"/>
      <c r="BF46" s="45"/>
    </row>
    <row r="47" spans="9:58">
      <c r="I47" s="47"/>
      <c r="P47" s="47"/>
      <c r="AL47" s="52"/>
      <c r="BF47" s="45"/>
    </row>
    <row r="48" spans="9:58">
      <c r="I48" s="47"/>
      <c r="P48" s="47"/>
      <c r="AL48" s="52"/>
      <c r="BF48" s="45"/>
    </row>
    <row r="49" spans="5:58">
      <c r="I49" s="47"/>
      <c r="P49" s="47"/>
      <c r="AL49" s="52"/>
      <c r="BF49" s="45"/>
    </row>
    <row r="50" spans="5:58">
      <c r="I50" s="47"/>
      <c r="P50" s="47"/>
      <c r="AL50" s="52"/>
      <c r="BF50" s="45"/>
    </row>
    <row r="51" spans="5:58">
      <c r="I51" s="47"/>
      <c r="P51" s="47"/>
      <c r="AL51" s="52"/>
      <c r="BF51" s="45"/>
    </row>
    <row r="52" spans="5:58">
      <c r="I52" s="47"/>
      <c r="P52" s="47"/>
      <c r="AL52" s="52"/>
      <c r="BF52" s="45"/>
    </row>
    <row r="53" spans="5:58">
      <c r="I53" s="47"/>
      <c r="M53" s="47"/>
      <c r="N53" s="47"/>
      <c r="P53" s="47"/>
      <c r="AL53" s="52"/>
      <c r="BF53" s="45"/>
    </row>
    <row r="54" spans="5:58">
      <c r="I54" s="47"/>
      <c r="M54" s="47"/>
      <c r="N54" s="47"/>
      <c r="P54" s="47"/>
      <c r="AL54" s="52"/>
      <c r="BF54" s="45"/>
    </row>
    <row r="55" spans="5:58">
      <c r="I55" s="47"/>
      <c r="M55" s="47"/>
      <c r="N55" s="47"/>
      <c r="P55" s="47"/>
      <c r="AL55" s="52"/>
      <c r="BF55" s="45"/>
    </row>
    <row r="56" spans="5:58">
      <c r="I56" s="47"/>
      <c r="M56" s="47"/>
      <c r="N56" s="47"/>
      <c r="P56" s="47"/>
      <c r="AL56" s="52"/>
      <c r="BF56" s="45"/>
    </row>
    <row r="57" spans="5:58">
      <c r="I57" s="47"/>
      <c r="P57" s="47"/>
      <c r="AL57" s="52"/>
      <c r="BF57" s="45"/>
    </row>
    <row r="58" spans="5:58" ht="10.5" customHeight="1">
      <c r="I58" s="47"/>
      <c r="M58" s="47"/>
      <c r="N58" s="47"/>
      <c r="P58" s="47"/>
      <c r="AL58" s="52"/>
      <c r="BF58" s="45"/>
    </row>
    <row r="59" spans="5:58">
      <c r="I59" s="47"/>
      <c r="P59" s="47"/>
      <c r="AL59" s="52"/>
      <c r="BF59" s="45"/>
    </row>
    <row r="60" spans="5:58">
      <c r="I60" s="47"/>
      <c r="AL60" s="52"/>
      <c r="BF60" s="45"/>
    </row>
    <row r="61" spans="5:58">
      <c r="I61" s="47"/>
      <c r="AL61" s="52"/>
      <c r="BF61" s="45"/>
    </row>
    <row r="62" spans="5:58" s="50" customFormat="1" ht="12.75">
      <c r="I62" s="47"/>
    </row>
    <row r="63" spans="5:58">
      <c r="E63" s="51"/>
      <c r="H63" s="49">
        <v>41.289576654351698</v>
      </c>
    </row>
    <row r="64" spans="5:58">
      <c r="E64" s="51"/>
      <c r="H64" s="49"/>
    </row>
    <row r="71" spans="10:10">
      <c r="J71" s="46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2" orientation="landscape" horizontalDpi="355" verticalDpi="35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M82"/>
  <sheetViews>
    <sheetView showGridLines="0" showRowColHeaders="0" showOutlineSymbols="0" topLeftCell="A2" workbookViewId="0">
      <selection activeCell="K27" sqref="K27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6" s="1" customFormat="1" ht="0.6" customHeight="1"/>
    <row r="2" spans="2:6" s="1" customFormat="1" ht="21" customHeight="1">
      <c r="E2" s="20" t="s">
        <v>37</v>
      </c>
    </row>
    <row r="3" spans="2:6" s="1" customFormat="1" ht="15" customHeight="1">
      <c r="E3" s="21" t="s">
        <v>194</v>
      </c>
    </row>
    <row r="4" spans="2:6" s="2" customFormat="1" ht="19.899999999999999" customHeight="1">
      <c r="B4" s="3"/>
      <c r="C4" s="22" t="s">
        <v>36</v>
      </c>
    </row>
    <row r="5" spans="2:6" s="2" customFormat="1" ht="12.6" customHeight="1">
      <c r="B5" s="3"/>
      <c r="C5" s="4"/>
    </row>
    <row r="6" spans="2:6" s="2" customFormat="1" ht="13.15" customHeight="1">
      <c r="B6" s="3"/>
      <c r="C6" s="5"/>
      <c r="D6" s="6"/>
      <c r="E6" s="6"/>
    </row>
    <row r="7" spans="2:6" s="2" customFormat="1" ht="12.75" customHeight="1">
      <c r="B7" s="3"/>
      <c r="C7" s="186" t="s">
        <v>143</v>
      </c>
      <c r="D7" s="6"/>
      <c r="E7" s="7"/>
    </row>
    <row r="8" spans="2:6" s="2" customFormat="1" ht="12.75" customHeight="1">
      <c r="B8" s="3"/>
      <c r="C8" s="186"/>
      <c r="D8" s="6"/>
      <c r="E8" s="7"/>
    </row>
    <row r="9" spans="2:6" s="2" customFormat="1" ht="12.75" customHeight="1">
      <c r="B9" s="3"/>
      <c r="C9" s="186"/>
      <c r="D9" s="6"/>
      <c r="E9" s="7"/>
    </row>
    <row r="10" spans="2:6" s="2" customFormat="1" ht="12.75" customHeight="1">
      <c r="B10" s="3"/>
      <c r="C10" s="54"/>
      <c r="D10" s="6"/>
      <c r="E10" s="7"/>
    </row>
    <row r="11" spans="2:6" s="2" customFormat="1" ht="12.75" customHeight="1">
      <c r="B11" s="3"/>
      <c r="C11" s="10"/>
      <c r="D11" s="6"/>
      <c r="E11" s="7"/>
      <c r="F11" s="64" t="s">
        <v>91</v>
      </c>
    </row>
    <row r="12" spans="2:6" s="2" customFormat="1" ht="12.75" customHeight="1">
      <c r="B12" s="3"/>
      <c r="C12" s="42"/>
      <c r="D12" s="6"/>
      <c r="E12" s="7"/>
      <c r="F12" s="64" t="s">
        <v>92</v>
      </c>
    </row>
    <row r="13" spans="2:6" s="2" customFormat="1" ht="12.75" customHeight="1">
      <c r="B13" s="3"/>
      <c r="C13" s="5"/>
      <c r="D13" s="6"/>
      <c r="E13" s="7"/>
      <c r="F13" s="64" t="s">
        <v>93</v>
      </c>
    </row>
    <row r="14" spans="2:6" s="2" customFormat="1" ht="12.75" customHeight="1">
      <c r="B14" s="3"/>
      <c r="C14" s="5"/>
      <c r="D14" s="6"/>
      <c r="E14" s="7"/>
      <c r="F14" s="64" t="s">
        <v>94</v>
      </c>
    </row>
    <row r="15" spans="2:6" s="2" customFormat="1" ht="12.75" customHeight="1">
      <c r="B15" s="3"/>
      <c r="C15" s="5"/>
      <c r="D15" s="6"/>
      <c r="E15" s="7"/>
      <c r="F15" s="64" t="s">
        <v>95</v>
      </c>
    </row>
    <row r="16" spans="2:6" s="2" customFormat="1" ht="12.75" customHeight="1">
      <c r="B16" s="3"/>
      <c r="C16" s="5"/>
      <c r="D16" s="6"/>
      <c r="E16" s="7"/>
      <c r="F16" s="64" t="s">
        <v>94</v>
      </c>
    </row>
    <row r="17" spans="2:13" s="2" customFormat="1" ht="12.75" customHeight="1">
      <c r="B17" s="3"/>
      <c r="C17" s="5"/>
      <c r="D17" s="6"/>
      <c r="E17" s="7"/>
      <c r="F17" s="64" t="s">
        <v>96</v>
      </c>
    </row>
    <row r="18" spans="2:13" s="2" customFormat="1" ht="12.75" customHeight="1">
      <c r="B18" s="3"/>
      <c r="C18" s="5"/>
      <c r="D18" s="6"/>
      <c r="E18" s="7"/>
      <c r="F18" s="64" t="s">
        <v>96</v>
      </c>
    </row>
    <row r="19" spans="2:13" s="2" customFormat="1" ht="12.75" customHeight="1">
      <c r="B19" s="3"/>
      <c r="C19" s="5"/>
      <c r="D19" s="6"/>
      <c r="E19" s="7"/>
      <c r="F19" s="64" t="s">
        <v>95</v>
      </c>
    </row>
    <row r="20" spans="2:13" s="2" customFormat="1" ht="12.75" customHeight="1">
      <c r="B20" s="3"/>
      <c r="C20" s="5"/>
      <c r="D20" s="6"/>
      <c r="E20" s="7"/>
      <c r="F20" s="64" t="s">
        <v>97</v>
      </c>
    </row>
    <row r="21" spans="2:13" s="2" customFormat="1" ht="12.75" customHeight="1">
      <c r="B21" s="3"/>
      <c r="C21" s="5"/>
      <c r="D21" s="6"/>
      <c r="E21" s="7"/>
      <c r="F21" s="64" t="s">
        <v>98</v>
      </c>
    </row>
    <row r="22" spans="2:13">
      <c r="E22" s="7"/>
      <c r="F22" s="64" t="s">
        <v>99</v>
      </c>
    </row>
    <row r="23" spans="2:13">
      <c r="E23" s="7"/>
      <c r="F23" s="64" t="s">
        <v>91</v>
      </c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3"/>
      <c r="L27" s="63"/>
      <c r="M27" s="63"/>
    </row>
    <row r="28" spans="2:13">
      <c r="E28" s="7"/>
    </row>
    <row r="82" spans="2:2">
      <c r="B82" s="9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S82"/>
  <sheetViews>
    <sheetView showGridLines="0" showRowColHeaders="0" showOutlineSymbols="0" topLeftCell="A2" workbookViewId="0">
      <selection activeCell="I37" sqref="I37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20" t="s">
        <v>37</v>
      </c>
    </row>
    <row r="3" spans="2:19" s="1" customFormat="1" ht="15" customHeight="1">
      <c r="E3" s="97" t="s">
        <v>194</v>
      </c>
    </row>
    <row r="4" spans="2:19" s="2" customFormat="1" ht="19.899999999999999" customHeight="1">
      <c r="B4" s="3"/>
      <c r="C4" s="22" t="s">
        <v>36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186" t="s">
        <v>90</v>
      </c>
      <c r="D7" s="6"/>
      <c r="E7" s="14"/>
    </row>
    <row r="8" spans="2:19" s="2" customFormat="1" ht="12.75" customHeight="1">
      <c r="B8" s="3"/>
      <c r="C8" s="186"/>
      <c r="D8" s="6"/>
      <c r="E8" s="14"/>
    </row>
    <row r="9" spans="2:19" s="2" customFormat="1" ht="18" customHeight="1">
      <c r="B9" s="3"/>
      <c r="C9" s="186"/>
      <c r="D9" s="6"/>
      <c r="E9" s="14"/>
      <c r="F9" s="64" t="str">
        <f>MID('Data 1'!B62,1,1)</f>
        <v>M</v>
      </c>
      <c r="R9" s="98"/>
      <c r="S9" s="101"/>
    </row>
    <row r="10" spans="2:19" s="2" customFormat="1" ht="12.75" customHeight="1">
      <c r="B10" s="3"/>
      <c r="D10" s="6"/>
      <c r="E10" s="14"/>
      <c r="F10" s="64" t="str">
        <f>MID('Data 1'!B63,1,1)</f>
        <v>A</v>
      </c>
      <c r="R10" s="98"/>
      <c r="S10" s="101"/>
    </row>
    <row r="11" spans="2:19" s="2" customFormat="1" ht="12.75" customHeight="1">
      <c r="B11" s="3"/>
      <c r="C11" s="10"/>
      <c r="D11" s="6"/>
      <c r="E11" s="14"/>
      <c r="F11" s="64" t="str">
        <f>MID('Data 1'!B64,1,1)</f>
        <v>M</v>
      </c>
      <c r="R11" s="98"/>
      <c r="S11" s="101"/>
    </row>
    <row r="12" spans="2:19" s="2" customFormat="1" ht="12.75" customHeight="1">
      <c r="B12" s="3"/>
      <c r="C12" s="42"/>
      <c r="D12" s="6"/>
      <c r="E12" s="14"/>
      <c r="F12" s="64" t="str">
        <f>MID('Data 1'!B65,1,1)</f>
        <v>J</v>
      </c>
      <c r="R12" s="98"/>
      <c r="S12" s="101"/>
    </row>
    <row r="13" spans="2:19" s="2" customFormat="1" ht="12.75" customHeight="1">
      <c r="B13" s="3"/>
      <c r="C13" s="5"/>
      <c r="D13" s="6"/>
      <c r="E13" s="14"/>
      <c r="F13" s="64" t="str">
        <f>MID('Data 1'!B66,1,1)</f>
        <v>J</v>
      </c>
      <c r="R13" s="98"/>
      <c r="S13" s="101"/>
    </row>
    <row r="14" spans="2:19" s="2" customFormat="1" ht="12.75" customHeight="1">
      <c r="B14" s="3"/>
      <c r="C14" s="5"/>
      <c r="D14" s="6"/>
      <c r="E14" s="14"/>
      <c r="F14" s="64" t="str">
        <f>MID('Data 1'!B67,1,1)</f>
        <v>A</v>
      </c>
      <c r="R14" s="98"/>
      <c r="S14" s="101"/>
    </row>
    <row r="15" spans="2:19" s="2" customFormat="1" ht="12.75" customHeight="1">
      <c r="B15" s="3"/>
      <c r="C15" s="5"/>
      <c r="D15" s="6"/>
      <c r="E15" s="14"/>
      <c r="F15" s="64" t="str">
        <f>MID('Data 1'!B68,1,1)</f>
        <v>S</v>
      </c>
      <c r="R15" s="98"/>
      <c r="S15" s="101"/>
    </row>
    <row r="16" spans="2:19" s="2" customFormat="1" ht="12.75" customHeight="1">
      <c r="B16" s="3"/>
      <c r="C16" s="5"/>
      <c r="D16" s="6"/>
      <c r="E16" s="14"/>
      <c r="F16" s="64" t="str">
        <f>MID('Data 1'!B69,1,1)</f>
        <v>O</v>
      </c>
      <c r="R16" s="98"/>
      <c r="S16" s="101"/>
    </row>
    <row r="17" spans="2:19" s="2" customFormat="1" ht="12.75" customHeight="1">
      <c r="B17" s="3"/>
      <c r="C17" s="5"/>
      <c r="D17" s="6"/>
      <c r="E17" s="14"/>
      <c r="F17" s="64" t="str">
        <f>MID('Data 1'!B70,1,1)</f>
        <v>N</v>
      </c>
      <c r="R17" s="98"/>
      <c r="S17" s="101"/>
    </row>
    <row r="18" spans="2:19" s="2" customFormat="1" ht="12.75" customHeight="1">
      <c r="B18" s="3"/>
      <c r="C18" s="5"/>
      <c r="D18" s="6"/>
      <c r="E18" s="14"/>
      <c r="F18" s="64" t="str">
        <f>MID('Data 1'!B71,1,1)</f>
        <v>D</v>
      </c>
      <c r="R18" s="98"/>
      <c r="S18" s="101"/>
    </row>
    <row r="19" spans="2:19" s="2" customFormat="1" ht="12.75" customHeight="1">
      <c r="B19" s="3"/>
      <c r="C19" s="5"/>
      <c r="D19" s="6"/>
      <c r="E19" s="14"/>
      <c r="F19" s="64" t="str">
        <f>MID('Data 1'!B72,1,1)</f>
        <v>E</v>
      </c>
      <c r="R19" s="98"/>
      <c r="S19" s="101"/>
    </row>
    <row r="20" spans="2:19" s="2" customFormat="1" ht="12.75" customHeight="1">
      <c r="B20" s="3"/>
      <c r="C20" s="5"/>
      <c r="D20" s="6"/>
      <c r="E20" s="14"/>
      <c r="F20" s="64" t="str">
        <f>MID('Data 1'!B73,1,1)</f>
        <v>F</v>
      </c>
      <c r="R20" s="98"/>
      <c r="S20" s="101"/>
    </row>
    <row r="21" spans="2:19" s="2" customFormat="1" ht="12.75" customHeight="1">
      <c r="B21" s="3"/>
      <c r="C21" s="5"/>
      <c r="D21" s="6"/>
      <c r="E21" s="14"/>
      <c r="F21" s="64" t="str">
        <f>MID('Data 1'!B74,1,1)</f>
        <v>M</v>
      </c>
      <c r="R21" s="98"/>
      <c r="S21" s="101"/>
    </row>
    <row r="22" spans="2:19">
      <c r="E22" s="14"/>
      <c r="F22" s="2"/>
      <c r="R22" s="99"/>
    </row>
    <row r="23" spans="2:19">
      <c r="E23" s="14"/>
      <c r="F23" s="2"/>
      <c r="R23" s="100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36"/>
  <sheetViews>
    <sheetView showGridLines="0" showRowColHeaders="0" zoomScaleNormal="100" workbookViewId="0">
      <selection activeCell="L19" sqref="L19"/>
    </sheetView>
  </sheetViews>
  <sheetFormatPr baseColWidth="10" defaultRowHeight="12.75"/>
  <cols>
    <col min="1" max="1" width="3.85546875" style="23" customWidth="1"/>
    <col min="2" max="2" width="23.7109375" style="23" customWidth="1"/>
    <col min="3" max="3" width="11.42578125" style="23"/>
    <col min="4" max="4" width="12.42578125" style="23" customWidth="1"/>
    <col min="5" max="5" width="11.28515625" style="23" customWidth="1"/>
    <col min="6" max="6" width="11.42578125" style="23"/>
    <col min="7" max="7" width="12.140625" style="23" customWidth="1"/>
    <col min="8" max="10" width="11.42578125" style="23"/>
    <col min="11" max="11" width="13" style="23" customWidth="1"/>
    <col min="12" max="16384" width="11.42578125" style="23"/>
  </cols>
  <sheetData>
    <row r="1" spans="1:8">
      <c r="A1" s="23" t="s">
        <v>4</v>
      </c>
    </row>
    <row r="2" spans="1:8">
      <c r="H2" s="20" t="s">
        <v>37</v>
      </c>
    </row>
    <row r="3" spans="1:8">
      <c r="H3" s="97" t="s">
        <v>194</v>
      </c>
    </row>
    <row r="4" spans="1:8">
      <c r="B4" s="22" t="s">
        <v>36</v>
      </c>
    </row>
    <row r="7" spans="1:8" ht="12.75" customHeight="1">
      <c r="B7" s="187" t="s">
        <v>56</v>
      </c>
    </row>
    <row r="8" spans="1:8">
      <c r="B8" s="187"/>
    </row>
    <row r="9" spans="1:8">
      <c r="B9" s="53" t="s">
        <v>16</v>
      </c>
    </row>
    <row r="27" spans="5:19">
      <c r="P27" s="24"/>
      <c r="Q27" s="25"/>
      <c r="R27" s="24"/>
      <c r="S27" s="25"/>
    </row>
    <row r="28" spans="5:19">
      <c r="P28" s="26"/>
      <c r="Q28" s="27"/>
      <c r="R28" s="26"/>
      <c r="S28" s="27"/>
    </row>
    <row r="30" spans="5:19">
      <c r="E30" s="81"/>
      <c r="F30" s="81"/>
      <c r="G30" s="81"/>
      <c r="H30" s="81"/>
    </row>
    <row r="32" spans="5:19">
      <c r="J32" s="28"/>
      <c r="K32" s="29"/>
      <c r="L32" s="29"/>
      <c r="M32" s="29"/>
      <c r="N32" s="29"/>
    </row>
    <row r="33" spans="10:15">
      <c r="J33" s="28"/>
      <c r="K33" s="29"/>
      <c r="L33" s="29"/>
      <c r="M33" s="29"/>
      <c r="N33" s="29"/>
      <c r="O33" s="29"/>
    </row>
    <row r="34" spans="10:15">
      <c r="J34" s="29"/>
      <c r="K34" s="29"/>
      <c r="L34" s="29"/>
      <c r="M34" s="29"/>
      <c r="N34" s="29"/>
    </row>
    <row r="35" spans="10:15">
      <c r="J35" s="29"/>
      <c r="K35" s="29"/>
      <c r="L35" s="29"/>
      <c r="M35" s="29"/>
      <c r="N35" s="29"/>
    </row>
    <row r="36" spans="10:15">
      <c r="K36" s="30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AM82"/>
  <sheetViews>
    <sheetView showGridLines="0" showRowColHeaders="0" showOutlineSymbols="0" topLeftCell="A2" zoomScaleNormal="100" workbookViewId="0">
      <selection activeCell="E35" sqref="E35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20" t="s">
        <v>37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7" t="s">
        <v>194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2" t="s">
        <v>36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187" t="s">
        <v>33</v>
      </c>
      <c r="D7" s="6"/>
      <c r="E7" s="14"/>
    </row>
    <row r="8" spans="2:39" s="2" customFormat="1" ht="12.75" customHeight="1">
      <c r="B8" s="3"/>
      <c r="C8" s="187"/>
      <c r="D8" s="6"/>
      <c r="E8" s="14"/>
    </row>
    <row r="9" spans="2:39" s="2" customFormat="1" ht="12.75" customHeight="1">
      <c r="B9" s="3"/>
      <c r="C9" s="187"/>
      <c r="D9" s="6"/>
      <c r="E9" s="14"/>
    </row>
    <row r="10" spans="2:39" s="2" customFormat="1" ht="12.75" customHeight="1">
      <c r="B10" s="3"/>
      <c r="C10" s="187"/>
      <c r="D10" s="6"/>
      <c r="E10" s="14"/>
    </row>
    <row r="11" spans="2:39" s="2" customFormat="1" ht="12.75" customHeight="1">
      <c r="B11" s="3"/>
      <c r="C11" s="53"/>
      <c r="D11" s="6"/>
      <c r="E11" s="11"/>
    </row>
    <row r="12" spans="2:39" s="2" customFormat="1" ht="12.75" customHeight="1">
      <c r="B12" s="3"/>
      <c r="C12" s="53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93" customFormat="1" ht="12.75" customHeight="1">
      <c r="C16" s="94"/>
      <c r="D16" s="95"/>
      <c r="E16" s="96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93"/>
      <c r="AM19" s="93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3" t="s">
        <v>34</v>
      </c>
    </row>
    <row r="34" spans="6:6">
      <c r="F34" s="8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E19" sqref="E19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7.140625" style="8" bestFit="1" customWidth="1"/>
    <col min="7" max="7" width="17.140625" bestFit="1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188" t="s">
        <v>37</v>
      </c>
      <c r="F2" s="188"/>
      <c r="G2" s="188"/>
      <c r="H2" s="12"/>
      <c r="I2" s="12"/>
    </row>
    <row r="3" spans="2:9" s="1" customFormat="1" ht="15" customHeight="1">
      <c r="E3" s="189" t="s">
        <v>194</v>
      </c>
      <c r="F3" s="189"/>
      <c r="G3" s="189"/>
      <c r="H3" s="13"/>
      <c r="I3" s="13"/>
    </row>
    <row r="4" spans="2:9" s="2" customFormat="1" ht="19.899999999999999" customHeight="1">
      <c r="C4" s="22" t="s">
        <v>36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92"/>
    </row>
    <row r="7" spans="2:9" s="72" customFormat="1" ht="15" customHeight="1">
      <c r="B7" s="69"/>
      <c r="C7" s="187" t="s">
        <v>139</v>
      </c>
      <c r="D7" s="70"/>
      <c r="E7" s="71"/>
      <c r="F7" s="91"/>
      <c r="G7" s="91"/>
    </row>
    <row r="8" spans="2:9" s="72" customFormat="1" ht="15" customHeight="1">
      <c r="B8" s="69"/>
      <c r="C8" s="187"/>
      <c r="D8" s="70"/>
      <c r="E8" s="73"/>
      <c r="F8" s="74" t="s">
        <v>230</v>
      </c>
      <c r="G8" s="74" t="s">
        <v>194</v>
      </c>
    </row>
    <row r="9" spans="2:9" s="2" customFormat="1" ht="15" customHeight="1">
      <c r="B9" s="3"/>
      <c r="C9" s="53"/>
      <c r="D9" s="6"/>
      <c r="E9" s="67" t="s">
        <v>64</v>
      </c>
      <c r="F9" s="106">
        <f>-VLOOKUP("Restricciones PBF - Coste",'Data 1'!F107:H125,3,FALSE)/1000000</f>
        <v>61.568024450000003</v>
      </c>
      <c r="G9" s="106">
        <f>-VLOOKUP("Restricciones PBF - Coste",'Data 1'!B107:D125,3,FALSE)/1000000</f>
        <v>46.815788259999998</v>
      </c>
    </row>
    <row r="10" spans="2:9" s="2" customFormat="1" ht="15" customHeight="1">
      <c r="B10" s="3"/>
      <c r="C10" s="187"/>
      <c r="D10" s="6"/>
      <c r="E10" s="67" t="s">
        <v>65</v>
      </c>
      <c r="F10" s="106">
        <f>-VLOOKUP("Restricciones tiempo real (SC)",'Data 1'!F107:H125,3,FALSE)/1000000</f>
        <v>3.4447435299999998</v>
      </c>
      <c r="G10" s="106">
        <f>-VLOOKUP("Restricciones tiempo real (SC)",'Data 1'!B107:D125,3,FALSE)/1000000</f>
        <v>3.0377997699999999</v>
      </c>
    </row>
    <row r="11" spans="2:9" s="2" customFormat="1" ht="15" customHeight="1">
      <c r="B11" s="3"/>
      <c r="C11" s="187"/>
      <c r="D11" s="6"/>
      <c r="E11" s="67" t="s">
        <v>59</v>
      </c>
      <c r="F11" s="106">
        <f>SUM(F9:F10)</f>
        <v>65.012767980000007</v>
      </c>
      <c r="G11" s="106">
        <f>SUM(G9:G10)</f>
        <v>49.853588029999997</v>
      </c>
    </row>
    <row r="12" spans="2:9" s="2" customFormat="1" ht="15" customHeight="1">
      <c r="B12" s="3"/>
      <c r="C12" s="187"/>
      <c r="D12" s="6"/>
      <c r="E12" s="67" t="s">
        <v>24</v>
      </c>
      <c r="F12" s="106">
        <f>-VLOOKUP("Banda secundaria - CF",'Data 1'!F107:H125,3,FALSE)/1000000</f>
        <v>21.672045969999999</v>
      </c>
      <c r="G12" s="106">
        <f>-VLOOKUP("Banda secundaria - CF",'Data 1'!B107:D125,3,FALSE)/1000000</f>
        <v>10.893793909999999</v>
      </c>
    </row>
    <row r="13" spans="2:9" s="2" customFormat="1" ht="15" customHeight="1">
      <c r="B13" s="3"/>
      <c r="C13" s="5"/>
      <c r="D13" s="6"/>
      <c r="E13" s="67" t="s">
        <v>27</v>
      </c>
      <c r="F13" s="106">
        <f>-IFERROR(VLOOKUP("Reserva subir - Coste",'Data 1'!F107:H125,3,FALSE)/1000000,0)</f>
        <v>8.0002557200000002</v>
      </c>
      <c r="G13" s="106">
        <f>-IFERROR(VLOOKUP("Reserva subir - Coste",'Data 1'!B107:D125,3,FALSE)/1000000,0)</f>
        <v>1.54555259</v>
      </c>
    </row>
    <row r="14" spans="2:9" s="2" customFormat="1" ht="15" customHeight="1">
      <c r="B14" s="3"/>
      <c r="C14" s="5"/>
      <c r="D14" s="6"/>
      <c r="E14" s="67" t="s">
        <v>17</v>
      </c>
      <c r="F14" s="106">
        <f>-(IFERROR(VLOOKUP("Gestión de desvíos",'Data 1'!F107:H125,3,FALSE)/1000000,0)+IFERROR(VLOOKUP("Regulación terciaria",'Data 1'!F107:H125,3,FALSE)/1000000,0)+IFERROR(VLOOKUP("Gestión de desvíos y terciaria (I)",'Data 1'!F107:H125,3,FALSE)/1000000,0)+IFERROR(VLOOKUP("Regulación secundaria",'Data 1'!F107:H125,3,FALSE)/1000000,0)+IFERROR(VLOOKUP("Servicios transfronterizos balance",'Data 1'!F107:H125,3,FALSE)/1000000,0)+IFERROR(VLOOKUP("Desvíos",'Data 1'!F107:H125,3,FALSE)/1000000,0)+IFERROR(VLOOKUP("Desvío entre sistemas",'Data 1'!F107:H125,3,FALSE)/1000000,0)+IFERROR(VLOOKUP("Reducción servicio interrumpibilidad",'Data 1'!F107:H125,3,FALSE)/1000000,0)+IFERROR(VLOOKUP("Enlace balear RP48",'Data 1'!F107:H125,3,FALSE)/1000000,0)+IFERROR(VLOOKUP("Acciones de balance",'Data 1'!F107:H125,3,FALSE)/1000000,0))</f>
        <v>1.6893568099999987</v>
      </c>
      <c r="G14" s="106">
        <f>-(IFERROR(VLOOKUP("Gestión de desvíos",'Data 1'!B107:D125,3,FALSE)/1000000,0)+IFERROR(VLOOKUP("Regulación terciaria",'Data 1'!B107:D125,3,FALSE)/1000000,0)+IFERROR(VLOOKUP("Gestión de desvíos y terciaria (I)",'Data 1'!B107:D125,3,FALSE)/1000000,0)+IFERROR(VLOOKUP("Regulación secundaria",'Data 1'!B107:D125,3,FALSE)/1000000,0)+IFERROR(VLOOKUP("Servicios transfronterizos balance",'Data 1'!B107:D125,3,FALSE)/1000000,0)+IFERROR(VLOOKUP("Desvíos",'Data 1'!B107:D125,3,FALSE)/1000000,0)+IFERROR(VLOOKUP("Desvío entre sistemas",'Data 1'!B107:D125,3,FALSE)/1000000,0)+IFERROR(VLOOKUP("Reducción servicio interrumpibilidad",'Data 1'!B107:D125,3,FALSE)/1000000,0)+IFERROR(VLOOKUP("Enlace balear RP48",'Data 1'!B107:D125,3,FALSE)/1000000,0)+IFERROR(VLOOKUP("Acciones de balance",'Data 1'!B107:D125,3,FALSE)/1000000,0))</f>
        <v>0.3780847699999994</v>
      </c>
    </row>
    <row r="15" spans="2:9" s="2" customFormat="1" ht="15" customHeight="1">
      <c r="B15" s="3"/>
      <c r="C15" s="5"/>
      <c r="D15" s="6"/>
      <c r="E15" s="67" t="s">
        <v>42</v>
      </c>
      <c r="F15" s="106">
        <f>-IFERROR(VLOOKUP("Saldo desvíos",'Data 1'!F107:H125,3,FALSE)/1000000,0)</f>
        <v>-1.78985065</v>
      </c>
      <c r="G15" s="106">
        <f>-IFERROR(VLOOKUP("Saldo desvíos",'Data 1'!B107:D125,3,FALSE)/1000000,0)</f>
        <v>-0.68084610999999995</v>
      </c>
    </row>
    <row r="16" spans="2:9" s="2" customFormat="1" ht="15" customHeight="1">
      <c r="B16" s="3"/>
      <c r="C16" s="5"/>
      <c r="D16" s="6"/>
      <c r="E16" s="67" t="s">
        <v>60</v>
      </c>
      <c r="F16" s="106">
        <f>-IFERROR(VLOOKUP("Control del factor de potencia",'Data 1'!F107:H125,3,FALSE)/1000000,0)</f>
        <v>0</v>
      </c>
      <c r="G16" s="106">
        <f>-IFERROR(VLOOKUP("Control del factor de potencia",'Data 1'!B107:D125,3,FALSE)/1000000,0)</f>
        <v>0</v>
      </c>
    </row>
    <row r="17" spans="2:10" s="2" customFormat="1" ht="15" customHeight="1">
      <c r="B17" s="3"/>
      <c r="C17" s="5"/>
      <c r="D17" s="6"/>
      <c r="E17" s="68" t="s">
        <v>61</v>
      </c>
      <c r="F17" s="107">
        <f>SUM(F11:F16)</f>
        <v>94.584575829999991</v>
      </c>
      <c r="G17" s="107">
        <f>SUM(G11:G16)</f>
        <v>61.99017319</v>
      </c>
    </row>
    <row r="18" spans="2:10" s="2" customFormat="1" ht="15" customHeight="1">
      <c r="B18" s="3"/>
      <c r="C18" s="5"/>
      <c r="D18" s="5"/>
      <c r="E18" s="75" t="s">
        <v>250</v>
      </c>
      <c r="F18" s="66"/>
      <c r="G18" s="76">
        <f>(G17-F17)/F17</f>
        <v>-0.34460589746242554</v>
      </c>
      <c r="I18" s="5"/>
      <c r="J18" s="5"/>
    </row>
    <row r="19" spans="2:10" s="2" customFormat="1" ht="12.75" customHeight="1">
      <c r="B19" s="3"/>
      <c r="C19" s="5"/>
      <c r="D19" s="6"/>
      <c r="E19" s="5"/>
      <c r="H19" s="65"/>
      <c r="I19" s="65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C13" sqref="C13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20" t="s">
        <v>37</v>
      </c>
      <c r="F2" s="12"/>
      <c r="G2" s="12"/>
      <c r="H2" s="12"/>
      <c r="I2" s="12"/>
    </row>
    <row r="3" spans="2:9" s="1" customFormat="1" ht="15" customHeight="1">
      <c r="E3" s="21" t="s">
        <v>194</v>
      </c>
      <c r="F3" s="13"/>
      <c r="G3" s="13"/>
      <c r="H3" s="13"/>
      <c r="I3" s="13"/>
    </row>
    <row r="4" spans="2:9" s="2" customFormat="1" ht="19.899999999999999" customHeight="1">
      <c r="C4" s="22" t="s">
        <v>36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187" t="s">
        <v>62</v>
      </c>
      <c r="D7" s="6"/>
      <c r="E7" s="14"/>
    </row>
    <row r="8" spans="2:9" s="2" customFormat="1" ht="12.75" customHeight="1">
      <c r="B8" s="3"/>
      <c r="C8" s="187"/>
      <c r="D8" s="6"/>
      <c r="E8" s="14"/>
    </row>
    <row r="9" spans="2:9" s="2" customFormat="1" ht="12.75" customHeight="1">
      <c r="B9" s="3"/>
      <c r="C9" s="53" t="s">
        <v>63</v>
      </c>
      <c r="D9" s="6"/>
      <c r="E9" s="14"/>
    </row>
    <row r="10" spans="2:9" s="2" customFormat="1" ht="12.75" customHeight="1">
      <c r="B10" s="3"/>
      <c r="C10" s="187"/>
      <c r="D10" s="6"/>
      <c r="E10" s="14"/>
    </row>
    <row r="11" spans="2:9" s="2" customFormat="1" ht="12.75" customHeight="1">
      <c r="B11" s="3"/>
      <c r="C11" s="187"/>
      <c r="D11" s="6"/>
      <c r="E11" s="11"/>
    </row>
    <row r="12" spans="2:9" s="2" customFormat="1" ht="12.75" customHeight="1">
      <c r="B12" s="3"/>
      <c r="C12" s="187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5"/>
      <c r="I18" s="65"/>
    </row>
    <row r="19" spans="2:9" s="2" customFormat="1" ht="12.75" customHeight="1">
      <c r="B19" s="3"/>
      <c r="C19" s="5"/>
      <c r="D19" s="6"/>
      <c r="E19" s="11"/>
      <c r="H19" s="65"/>
      <c r="I19" s="65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3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AL72"/>
  <sheetViews>
    <sheetView showGridLines="0" showRowColHeaders="0" zoomScaleNormal="100" workbookViewId="0">
      <selection activeCell="O31" sqref="O31"/>
    </sheetView>
  </sheetViews>
  <sheetFormatPr baseColWidth="10" defaultRowHeight="12.75"/>
  <cols>
    <col min="1" max="1" width="2.7109375" style="31" customWidth="1"/>
    <col min="2" max="2" width="23.7109375" style="31" customWidth="1"/>
    <col min="3" max="3" width="11.42578125" style="31" customWidth="1"/>
    <col min="4" max="8" width="11.42578125" style="31"/>
    <col min="9" max="9" width="11.5703125" style="31" bestFit="1" customWidth="1"/>
    <col min="10" max="14" width="11.42578125" style="31"/>
    <col min="15" max="15" width="17" style="31" bestFit="1" customWidth="1"/>
    <col min="16" max="16384" width="11.42578125" style="31"/>
  </cols>
  <sheetData>
    <row r="1" spans="1:38">
      <c r="L1" s="20" t="s">
        <v>37</v>
      </c>
    </row>
    <row r="2" spans="1:38">
      <c r="L2" s="21" t="s">
        <v>194</v>
      </c>
    </row>
    <row r="4" spans="1:38">
      <c r="A4" s="34"/>
      <c r="B4" s="22" t="s">
        <v>36</v>
      </c>
      <c r="C4" s="34"/>
      <c r="P4" s="78" t="s">
        <v>13</v>
      </c>
      <c r="Q4" s="78" t="s">
        <v>5</v>
      </c>
      <c r="R4" s="78" t="s">
        <v>6</v>
      </c>
      <c r="S4" s="78" t="s">
        <v>7</v>
      </c>
      <c r="T4" s="78" t="s">
        <v>8</v>
      </c>
      <c r="U4" s="78" t="s">
        <v>7</v>
      </c>
      <c r="V4" s="78" t="s">
        <v>9</v>
      </c>
      <c r="W4" s="78" t="s">
        <v>9</v>
      </c>
      <c r="X4" s="78" t="s">
        <v>8</v>
      </c>
      <c r="Y4" s="78" t="s">
        <v>10</v>
      </c>
      <c r="Z4" s="78" t="s">
        <v>11</v>
      </c>
      <c r="AA4" s="78" t="s">
        <v>12</v>
      </c>
      <c r="AB4" s="78" t="s">
        <v>13</v>
      </c>
    </row>
    <row r="5" spans="1:38" s="35" customFormat="1"/>
    <row r="6" spans="1:38" s="35" customFormat="1"/>
    <row r="7" spans="1:38" ht="12.75" customHeight="1">
      <c r="B7" s="187" t="s">
        <v>44</v>
      </c>
      <c r="F7" s="36"/>
      <c r="G7" s="36"/>
      <c r="H7" s="37"/>
      <c r="I7" s="37"/>
      <c r="J7" s="37"/>
      <c r="K7" s="37"/>
      <c r="L7" s="37"/>
      <c r="M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8">
      <c r="B8" s="187"/>
      <c r="F8" s="36"/>
      <c r="G8" s="36"/>
      <c r="H8" s="37"/>
      <c r="I8" s="37"/>
      <c r="J8" s="37"/>
      <c r="K8" s="37"/>
      <c r="L8" s="37"/>
      <c r="M8" s="37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>
      <c r="B9" s="53" t="s">
        <v>87</v>
      </c>
      <c r="F9" s="36"/>
      <c r="G9" s="36"/>
    </row>
    <row r="10" spans="1:38">
      <c r="B10" s="187"/>
      <c r="F10" s="36"/>
      <c r="G10" s="36"/>
    </row>
    <row r="11" spans="1:38">
      <c r="B11" s="187"/>
      <c r="F11" s="36"/>
      <c r="G11" s="36"/>
    </row>
    <row r="12" spans="1:38" s="35" customFormat="1">
      <c r="B12" s="187"/>
      <c r="F12" s="36"/>
      <c r="G12" s="36"/>
    </row>
    <row r="13" spans="1:38">
      <c r="B13" s="187"/>
      <c r="F13" s="36"/>
      <c r="G13" s="36"/>
      <c r="H13" s="37"/>
      <c r="I13" s="37"/>
      <c r="J13" s="37"/>
      <c r="K13" s="37"/>
      <c r="L13" s="37"/>
      <c r="M13" s="37"/>
      <c r="AC13" s="37"/>
      <c r="AD13" s="37"/>
      <c r="AE13" s="37"/>
      <c r="AF13" s="37"/>
      <c r="AG13" s="37"/>
      <c r="AH13" s="37"/>
      <c r="AI13" s="37"/>
      <c r="AJ13" s="37"/>
    </row>
    <row r="14" spans="1:38">
      <c r="F14" s="36"/>
      <c r="G14" s="36"/>
    </row>
    <row r="15" spans="1:38">
      <c r="F15" s="36"/>
      <c r="G15" s="36"/>
    </row>
    <row r="16" spans="1:38">
      <c r="F16" s="36"/>
      <c r="G16" s="36"/>
    </row>
    <row r="17" spans="6:7">
      <c r="F17" s="36"/>
      <c r="G17" s="36"/>
    </row>
    <row r="18" spans="6:7">
      <c r="F18" s="36"/>
      <c r="G18" s="36"/>
    </row>
    <row r="19" spans="6:7">
      <c r="F19" s="36"/>
      <c r="G19" s="36"/>
    </row>
    <row r="20" spans="6:7">
      <c r="F20" s="36"/>
      <c r="G20" s="36"/>
    </row>
    <row r="21" spans="6:7">
      <c r="F21" s="36"/>
      <c r="G21" s="36"/>
    </row>
    <row r="22" spans="6:7">
      <c r="F22" s="36"/>
      <c r="G22" s="36"/>
    </row>
    <row r="23" spans="6:7">
      <c r="F23" s="36"/>
      <c r="G23" s="36"/>
    </row>
    <row r="24" spans="6:7">
      <c r="F24" s="36"/>
      <c r="G24" s="36"/>
    </row>
    <row r="25" spans="6:7">
      <c r="F25" s="36"/>
      <c r="G25" s="36"/>
    </row>
    <row r="26" spans="6:7">
      <c r="F26" s="36"/>
      <c r="G26" s="36"/>
    </row>
    <row r="27" spans="6:7">
      <c r="F27" s="36"/>
      <c r="G27" s="36"/>
    </row>
    <row r="28" spans="6:7">
      <c r="F28" s="36"/>
      <c r="G28" s="36"/>
    </row>
    <row r="29" spans="6:7">
      <c r="F29" s="36"/>
      <c r="G29" s="36"/>
    </row>
    <row r="30" spans="6:7">
      <c r="F30" s="36"/>
      <c r="G30" s="36"/>
    </row>
    <row r="31" spans="6:7">
      <c r="F31" s="36"/>
      <c r="G31" s="36"/>
    </row>
    <row r="32" spans="6:7">
      <c r="F32" s="36"/>
      <c r="G32" s="36"/>
    </row>
    <row r="33" spans="1:7">
      <c r="F33" s="36"/>
      <c r="G33" s="36"/>
    </row>
    <row r="34" spans="1:7">
      <c r="F34" s="36"/>
      <c r="G34" s="36"/>
    </row>
    <row r="35" spans="1:7">
      <c r="F35" s="36"/>
      <c r="G35" s="36"/>
    </row>
    <row r="36" spans="1:7" ht="12.75" customHeight="1"/>
    <row r="40" spans="1:7" s="23" customFormat="1">
      <c r="A40" s="31"/>
      <c r="B40" s="31"/>
    </row>
    <row r="41" spans="1:7" s="23" customFormat="1">
      <c r="A41" s="31"/>
      <c r="B41" s="31"/>
    </row>
    <row r="42" spans="1:7" s="23" customFormat="1">
      <c r="A42" s="31"/>
      <c r="B42" s="31"/>
    </row>
    <row r="57" spans="10:16">
      <c r="J57" s="32"/>
      <c r="K57" s="39"/>
      <c r="L57" s="40"/>
      <c r="M57" s="40"/>
      <c r="N57" s="39"/>
      <c r="O57" s="39"/>
    </row>
    <row r="58" spans="10:16">
      <c r="K58" s="32"/>
      <c r="L58" s="39"/>
      <c r="M58" s="40"/>
      <c r="N58" s="40"/>
      <c r="O58" s="39"/>
      <c r="P58" s="39"/>
    </row>
    <row r="59" spans="10:16">
      <c r="K59" s="32"/>
      <c r="L59" s="39"/>
      <c r="M59" s="40"/>
      <c r="N59" s="40"/>
      <c r="O59" s="39"/>
      <c r="P59" s="39"/>
    </row>
    <row r="60" spans="10:16">
      <c r="K60" s="32"/>
      <c r="L60" s="39"/>
      <c r="M60" s="40"/>
      <c r="N60" s="40"/>
      <c r="O60" s="39"/>
      <c r="P60" s="39"/>
    </row>
    <row r="61" spans="10:16">
      <c r="K61" s="32"/>
      <c r="L61" s="39"/>
      <c r="M61" s="40"/>
      <c r="N61" s="40"/>
      <c r="O61" s="39"/>
      <c r="P61" s="39"/>
    </row>
    <row r="62" spans="10:16">
      <c r="K62" s="32"/>
      <c r="L62" s="39"/>
      <c r="M62" s="40"/>
      <c r="N62" s="40"/>
      <c r="O62" s="39"/>
      <c r="P62" s="39"/>
    </row>
    <row r="63" spans="10:16">
      <c r="K63" s="32"/>
      <c r="L63" s="39"/>
      <c r="M63" s="40"/>
      <c r="N63" s="40"/>
      <c r="O63" s="39"/>
      <c r="P63" s="39"/>
    </row>
    <row r="64" spans="10:16">
      <c r="K64" s="32"/>
      <c r="L64" s="39"/>
      <c r="M64" s="40"/>
      <c r="N64" s="40"/>
      <c r="O64" s="39"/>
      <c r="P64" s="39"/>
    </row>
    <row r="65" spans="1:16">
      <c r="K65" s="32"/>
      <c r="L65" s="39"/>
      <c r="M65" s="40"/>
      <c r="N65" s="40"/>
      <c r="O65" s="39"/>
      <c r="P65" s="39"/>
    </row>
    <row r="66" spans="1:16">
      <c r="K66" s="32"/>
      <c r="L66" s="39"/>
      <c r="M66" s="40"/>
      <c r="N66" s="40"/>
      <c r="O66" s="39"/>
      <c r="P66" s="39"/>
    </row>
    <row r="67" spans="1:16" s="23" customFormat="1">
      <c r="B67" s="31"/>
      <c r="C67" s="31"/>
      <c r="D67" s="31"/>
      <c r="E67" s="31"/>
      <c r="F67" s="31"/>
      <c r="G67" s="31"/>
      <c r="H67" s="31"/>
      <c r="I67" s="31"/>
      <c r="J67" s="31"/>
      <c r="K67" s="32"/>
      <c r="L67" s="39"/>
      <c r="M67" s="40"/>
      <c r="N67" s="41"/>
      <c r="O67" s="39"/>
      <c r="P67" s="39"/>
    </row>
    <row r="68" spans="1:16" s="23" customFormat="1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9"/>
      <c r="M68" s="41"/>
      <c r="N68" s="41"/>
      <c r="O68" s="39"/>
      <c r="P68" s="39"/>
    </row>
    <row r="69" spans="1:16">
      <c r="A69" s="23"/>
      <c r="K69" s="33"/>
      <c r="M69" s="40"/>
      <c r="N69" s="40"/>
      <c r="O69" s="39"/>
      <c r="P69" s="39"/>
    </row>
    <row r="70" spans="1:16">
      <c r="A70" s="23"/>
      <c r="B70" s="23"/>
      <c r="C70" s="23"/>
      <c r="D70" s="41"/>
      <c r="E70" s="41"/>
      <c r="F70" s="41"/>
      <c r="G70" s="41"/>
      <c r="H70" s="41"/>
      <c r="J70" s="38"/>
    </row>
    <row r="71" spans="1:16">
      <c r="J71" s="38"/>
    </row>
    <row r="72" spans="1:16">
      <c r="F72" s="36"/>
      <c r="G72" s="36"/>
      <c r="J72" s="38"/>
    </row>
  </sheetData>
  <mergeCells count="2">
    <mergeCell ref="B7:B8"/>
    <mergeCell ref="B10:B13"/>
  </mergeCells>
  <conditionalFormatting sqref="K69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Data 2</vt:lpstr>
      <vt:lpstr>'M1'!Área_de_impresión</vt:lpstr>
      <vt:lpstr>'M10'!Área_de_impresión</vt:lpstr>
      <vt:lpstr>'M11'!Área_de_impresión</vt:lpstr>
      <vt:lpstr>'M12'!Área_de_impresión</vt:lpstr>
      <vt:lpstr>'M13'!Área_de_impresión</vt:lpstr>
      <vt:lpstr>'M14'!Área_de_impresión</vt:lpstr>
      <vt:lpstr>'M2'!Área_de_impresión</vt:lpstr>
      <vt:lpstr>'M3'!Área_de_impresión</vt:lpstr>
      <vt:lpstr>'M5'!Área_de_impresión</vt:lpstr>
      <vt:lpstr>'M6'!Área_de_impresión</vt:lpstr>
      <vt:lpstr>'M7'!Área_de_impresión</vt:lpstr>
      <vt:lpstr>'M8'!Área_de_impresión</vt:lpstr>
      <vt:lpstr>'M9'!Área_de_impresión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FUEPERRO</cp:lastModifiedBy>
  <cp:lastPrinted>2016-08-30T06:59:14Z</cp:lastPrinted>
  <dcterms:created xsi:type="dcterms:W3CDTF">1999-07-09T11:45:32Z</dcterms:created>
  <dcterms:modified xsi:type="dcterms:W3CDTF">2017-04-17T10:47:27Z</dcterms:modified>
</cp:coreProperties>
</file>