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2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P110" i="91" l="1"/>
  <c r="E162" i="88"/>
  <c r="E161" i="88"/>
  <c r="G39" i="88" l="1"/>
  <c r="L74" i="88" l="1"/>
  <c r="M74" i="88"/>
  <c r="O155" i="91" l="1"/>
  <c r="O154" i="91"/>
  <c r="O153" i="91"/>
  <c r="O152" i="91"/>
  <c r="O151" i="91"/>
  <c r="P111" i="91"/>
  <c r="P109" i="91"/>
  <c r="P108" i="91"/>
  <c r="P107" i="91"/>
  <c r="P78" i="91"/>
  <c r="P77" i="91"/>
  <c r="P76" i="91"/>
  <c r="P75" i="91"/>
  <c r="P74" i="91"/>
  <c r="O30" i="91"/>
  <c r="O29" i="91"/>
  <c r="O28" i="91"/>
  <c r="O27" i="91"/>
  <c r="O26" i="91"/>
  <c r="C13" i="91"/>
  <c r="C12" i="91"/>
  <c r="M78" i="88"/>
  <c r="E165" i="88"/>
  <c r="E164" i="88"/>
  <c r="E163" i="88"/>
  <c r="O91" i="88" l="1"/>
  <c r="F17" i="76" l="1"/>
  <c r="L78" i="88" l="1"/>
  <c r="K74" i="88" l="1"/>
  <c r="K73" i="88"/>
  <c r="K72" i="88"/>
  <c r="K71" i="88"/>
  <c r="K70" i="88"/>
  <c r="K69" i="88"/>
  <c r="K68" i="88"/>
  <c r="K67" i="88"/>
  <c r="K66" i="88"/>
  <c r="K65" i="88"/>
  <c r="K64" i="88"/>
  <c r="K63" i="88"/>
  <c r="K62" i="88"/>
  <c r="C62" i="88"/>
  <c r="G14" i="76" l="1"/>
  <c r="G15" i="76"/>
  <c r="G16" i="76"/>
  <c r="F16" i="76"/>
  <c r="F15" i="76"/>
  <c r="F14" i="76"/>
  <c r="F9" i="76"/>
  <c r="F11" i="76" s="1"/>
  <c r="F10" i="76"/>
  <c r="F12" i="76"/>
  <c r="F13" i="76"/>
  <c r="O87" i="88" l="1"/>
  <c r="N87" i="88"/>
  <c r="M87" i="88"/>
  <c r="L87" i="88"/>
  <c r="K87" i="88"/>
  <c r="J87" i="88"/>
  <c r="I87" i="88"/>
  <c r="H87" i="88"/>
  <c r="G87" i="88"/>
  <c r="F87" i="88"/>
  <c r="E87" i="88"/>
  <c r="D87" i="88"/>
  <c r="C87" i="88"/>
  <c r="C21" i="91" l="1"/>
  <c r="D21" i="91"/>
  <c r="E21" i="91"/>
  <c r="F21" i="91"/>
  <c r="G21" i="91"/>
  <c r="H21" i="91"/>
  <c r="I21" i="91"/>
  <c r="J21" i="91"/>
  <c r="K21" i="91"/>
  <c r="L21" i="91"/>
  <c r="M21" i="91"/>
  <c r="N21" i="91"/>
  <c r="O21" i="91"/>
  <c r="G13" i="76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J78" i="88"/>
  <c r="B62" i="88"/>
  <c r="D62" i="88"/>
  <c r="G62" i="88"/>
  <c r="H62" i="88"/>
  <c r="J62" i="88"/>
  <c r="B63" i="88"/>
  <c r="C63" i="88"/>
  <c r="D63" i="88"/>
  <c r="G63" i="88"/>
  <c r="H63" i="88"/>
  <c r="J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H78" i="88" l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G18" i="76" s="1"/>
  <c r="F62" i="88" l="1"/>
  <c r="F63" i="88"/>
  <c r="F64" i="88"/>
  <c r="F65" i="88"/>
  <c r="F66" i="88"/>
  <c r="F67" i="88"/>
  <c r="F68" i="88"/>
  <c r="F69" i="88"/>
  <c r="F70" i="88"/>
  <c r="F71" i="88"/>
  <c r="F72" i="88"/>
  <c r="F73" i="88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I74" i="88" l="1"/>
</calcChain>
</file>

<file path=xl/sharedStrings.xml><?xml version="1.0" encoding="utf-8"?>
<sst xmlns="http://schemas.openxmlformats.org/spreadsheetml/2006/main" count="930" uniqueCount="248">
  <si>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</si>
  <si>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</si>
  <si>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</si>
  <si>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</si>
  <si>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</si>
  <si>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</si>
  <si>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</si>
  <si>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</si>
  <si>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</si>
  <si>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</si>
  <si>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</si>
  <si>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</si>
  <si>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</si>
  <si>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</si>
  <si>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</si>
  <si>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</si>
  <si>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</si>
  <si>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</si>
  <si>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</si>
  <si>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</si>
  <si>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</si>
  <si>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</si>
  <si>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</si>
  <si>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</si>
  <si>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</si>
  <si>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</si>
  <si>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</si>
  <si>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</si>
  <si>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</si>
  <si>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</si>
  <si>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</si>
  <si>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</si>
  <si>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</si>
  <si>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</si>
  <si>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</si>
  <si>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</si>
  <si>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</si>
  <si>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</si>
  <si>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</si>
  <si>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</si>
  <si>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</si>
  <si>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</si>
  <si>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</si>
  <si>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</si>
  <si>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</si>
  <si>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</si>
  <si>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</si>
  <si>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</si>
  <si>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</si>
  <si>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</si>
  <si>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</si>
  <si>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</si>
  <si>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</si>
  <si>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</si>
  <si>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</si>
  <si>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</si>
  <si>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</si>
  <si>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</si>
  <si>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</si>
  <si>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</si>
  <si>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</si>
  <si>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</si>
  <si>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</si>
  <si>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</si>
  <si>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>∆2016/2015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</si>
  <si>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</si>
  <si>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</si>
  <si>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</si>
  <si>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</si>
  <si>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</si>
  <si>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</si>
  <si>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</si>
  <si>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</si>
  <si>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</si>
  <si>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</si>
  <si>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</si>
  <si>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</si>
  <si>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</si>
  <si>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</si>
  <si>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</si>
  <si>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</si>
  <si>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</si>
  <si>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</si>
  <si>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</si>
  <si>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</si>
  <si>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</si>
  <si>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</si>
  <si>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</si>
  <si>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</si>
  <si>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</si>
  <si>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</si>
  <si>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</si>
  <si>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</si>
  <si>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</si>
  <si>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</si>
  <si>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</si>
  <si>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</si>
  <si>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</si>
  <si>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</si>
  <si>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</si>
  <si>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</si>
  <si>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</si>
  <si>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</si>
  <si>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</si>
  <si>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2016 Diciembre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</si>
  <si>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</si>
  <si>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</si>
  <si>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</si>
  <si>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</si>
  <si>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</si>
  <si>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</si>
  <si>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</si>
  <si>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</si>
  <si>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</si>
  <si>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</si>
  <si>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</si>
  <si>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</si>
  <si>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</si>
  <si>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</si>
  <si>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</si>
  <si>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</si>
  <si>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</si>
  <si>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</si>
  <si>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</si>
  <si>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</si>
  <si>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</si>
  <si>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</si>
  <si>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</si>
  <si>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</si>
  <si>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</si>
  <si>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</si>
  <si>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</si>
  <si>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Energia (GWh) a subir</t>
  </si>
  <si>
    <t>Energia (GWh) a bajar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</si>
  <si>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</si>
  <si>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</si>
  <si>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</si>
  <si>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</si>
  <si>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</si>
  <si>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</si>
  <si>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</si>
  <si>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Banda de regulación secundaria (GW y €/MW)</t>
  </si>
  <si>
    <t>Regulación secundaria utilizada (GWh y €/MW)</t>
  </si>
  <si>
    <t>Regulación secundaria</t>
  </si>
  <si>
    <t>Gestión Desvios</t>
  </si>
  <si>
    <t>Mercado diario: participación de cada tecnología en el precio marginal (%)</t>
  </si>
  <si>
    <t>Precio</t>
  </si>
  <si>
    <t>A subir</t>
  </si>
  <si>
    <t>A bajar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</si>
  <si>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</si>
  <si>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</si>
  <si>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</si>
  <si>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</si>
  <si>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</si>
  <si>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</si>
  <si>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01/02/2017</t>
  </si>
  <si>
    <t>02/02/2017</t>
  </si>
  <si>
    <t>03/02/2017</t>
  </si>
  <si>
    <t>04/02/2017</t>
  </si>
  <si>
    <t>05/02/2017</t>
  </si>
  <si>
    <t>06/02/2017</t>
  </si>
  <si>
    <t>07/02/2017</t>
  </si>
  <si>
    <t>08/02/2017</t>
  </si>
  <si>
    <t>09/02/2017</t>
  </si>
  <si>
    <t>10/02/2017</t>
  </si>
  <si>
    <t>11/02/2017</t>
  </si>
  <si>
    <t>12/02/2017</t>
  </si>
  <si>
    <t>13/02/2017</t>
  </si>
  <si>
    <t>14/02/2017</t>
  </si>
  <si>
    <t>15/02/2017</t>
  </si>
  <si>
    <t>16/02/2017</t>
  </si>
  <si>
    <t>17/02/2017</t>
  </si>
  <si>
    <t>18/02/2017</t>
  </si>
  <si>
    <t>19/02/2017</t>
  </si>
  <si>
    <t>20/02/2017</t>
  </si>
  <si>
    <t>21/02/2017</t>
  </si>
  <si>
    <t>22/02/2017</t>
  </si>
  <si>
    <t>23/02/2017</t>
  </si>
  <si>
    <t>24/02/2017</t>
  </si>
  <si>
    <t>25/02/2017</t>
  </si>
  <si>
    <t>26/02/2017</t>
  </si>
  <si>
    <t>27/02/2017</t>
  </si>
  <si>
    <t>28/02/2017</t>
  </si>
  <si>
    <t>Promedio</t>
  </si>
  <si>
    <t>-</t>
  </si>
  <si>
    <t>Febrero 2017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</si>
  <si>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</si>
  <si>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</si>
  <si>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</si>
  <si>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</si>
  <si>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</si>
  <si>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</si>
  <si>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</si>
  <si>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</si>
  <si>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</si>
  <si>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</si>
  <si>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</si>
  <si>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</si>
  <si>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</si>
  <si>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2017 Febrero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</si>
  <si>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</si>
  <si>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</si>
  <si>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</si>
  <si>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</si>
  <si>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</si>
  <si>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Reducción servicio interrumpibilidad</t>
  </si>
  <si>
    <t>Gestión de desvíos y terciaria (I)</t>
  </si>
  <si>
    <t>Servicios transfronterizos balance</t>
  </si>
  <si>
    <t>Acciones de balance</t>
  </si>
  <si>
    <t>Desvío entre sistemas</t>
  </si>
  <si>
    <t>2016 Febrero</t>
  </si>
  <si>
    <t>Enlace balear RP48</t>
  </si>
  <si>
    <t>Febrero 2016</t>
  </si>
  <si>
    <t>Restricciones Técnicas al PBF</t>
  </si>
  <si>
    <t>Restric. en Tiempo Real</t>
  </si>
  <si>
    <t>Febrero</t>
  </si>
  <si>
    <t>2016 Marzo</t>
  </si>
  <si>
    <t>2016 Abril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</si>
  <si>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</si>
  <si>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</si>
  <si>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</si>
  <si>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</si>
  <si>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</si>
  <si>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</si>
  <si>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</si>
  <si>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2017 Enero</t>
  </si>
  <si>
    <t>Subir</t>
  </si>
  <si>
    <t>Carbón</t>
  </si>
  <si>
    <t>Otras Renovables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</si>
  <si>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</si>
  <si>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</si>
  <si>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</si>
  <si>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</si>
  <si>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</si>
  <si>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</si>
  <si>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</si>
  <si>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Adquisición de Energía</t>
  </si>
  <si>
    <t>Enlace Península Baleares</t>
  </si>
  <si>
    <t>Fuel-Gas</t>
  </si>
  <si>
    <t>Internacionales</t>
  </si>
  <si>
    <t>Nuclear</t>
  </si>
  <si>
    <t>Residuos no Renovables</t>
  </si>
  <si>
    <t>precio medio aritmético mensual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</si>
  <si>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</si>
  <si>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</si>
  <si>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</si>
  <si>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</si>
  <si>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Solución de restricciones técnicas (Fase I) (MWh y €/MWh)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</si>
</sst>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4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0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1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0" fontId="21" fillId="8" borderId="11" xfId="21" quotePrefix="1" applyFont="1" applyFill="1" applyBorder="1" applyAlignment="1">
      <alignment vertical="center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164" fontId="8" fillId="5" borderId="0" xfId="0" applyNumberFormat="1" applyFont="1" applyFill="1" applyBorder="1" applyAlignment="1" applyProtection="1">
      <alignment horizontal="left" vertical="center"/>
    </xf>
    <xf numFmtId="4" fontId="8" fillId="5" borderId="0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0" xfId="31" applyFont="1" applyFill="1" applyBorder="1" applyProtection="1"/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2" fontId="33" fillId="0" borderId="0" xfId="0" applyNumberFormat="1" applyFont="1" applyFill="1" applyBorder="1" applyProtection="1"/>
    <xf numFmtId="0" fontId="33" fillId="0" borderId="0" xfId="0" applyFont="1"/>
    <xf numFmtId="166" fontId="33" fillId="4" borderId="0" xfId="0" applyNumberFormat="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0" fontId="21" fillId="0" borderId="0" xfId="0" applyFont="1"/>
    <xf numFmtId="168" fontId="21" fillId="0" borderId="0" xfId="0" applyNumberFormat="1" applyFont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0" fontId="21" fillId="8" borderId="11" xfId="21" quotePrefix="1" applyFont="1" applyFill="1" applyBorder="1" applyAlignment="1">
      <alignment horizontal="center" vertical="center"/>
    </xf>
    <xf numFmtId="0" fontId="21" fillId="8" borderId="7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BA0F16"/>
      <color rgb="FF464394"/>
      <color rgb="FF404040"/>
      <color rgb="FF95B3D7"/>
      <color rgb="FFED7D31"/>
      <color rgb="FF666666"/>
      <color rgb="FF808000"/>
      <color rgb="FF91C3D5"/>
      <color rgb="FF009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1'!$C$5:$C$32</c:f>
              <c:numCache>
                <c:formatCode>General</c:formatCode>
                <c:ptCount val="28"/>
                <c:pt idx="0">
                  <c:v>79.11</c:v>
                </c:pt>
                <c:pt idx="1">
                  <c:v>61.23</c:v>
                </c:pt>
                <c:pt idx="2">
                  <c:v>60</c:v>
                </c:pt>
                <c:pt idx="3">
                  <c:v>61.23</c:v>
                </c:pt>
                <c:pt idx="4">
                  <c:v>60.07</c:v>
                </c:pt>
                <c:pt idx="5">
                  <c:v>64.69</c:v>
                </c:pt>
                <c:pt idx="6">
                  <c:v>69.010000000000005</c:v>
                </c:pt>
                <c:pt idx="7">
                  <c:v>72.599999999999994</c:v>
                </c:pt>
                <c:pt idx="8">
                  <c:v>75.010000000000005</c:v>
                </c:pt>
                <c:pt idx="9">
                  <c:v>77.52</c:v>
                </c:pt>
                <c:pt idx="10">
                  <c:v>64.36</c:v>
                </c:pt>
                <c:pt idx="11">
                  <c:v>50.6</c:v>
                </c:pt>
                <c:pt idx="12">
                  <c:v>68.23</c:v>
                </c:pt>
                <c:pt idx="13">
                  <c:v>68.08</c:v>
                </c:pt>
                <c:pt idx="14">
                  <c:v>67.53</c:v>
                </c:pt>
                <c:pt idx="15">
                  <c:v>69.62</c:v>
                </c:pt>
                <c:pt idx="16">
                  <c:v>66.77</c:v>
                </c:pt>
                <c:pt idx="17">
                  <c:v>61.94</c:v>
                </c:pt>
                <c:pt idx="18">
                  <c:v>62.49</c:v>
                </c:pt>
                <c:pt idx="19">
                  <c:v>66.260000000000005</c:v>
                </c:pt>
                <c:pt idx="20">
                  <c:v>61.23</c:v>
                </c:pt>
                <c:pt idx="21">
                  <c:v>65.25</c:v>
                </c:pt>
                <c:pt idx="22">
                  <c:v>59.6</c:v>
                </c:pt>
                <c:pt idx="23">
                  <c:v>58.57</c:v>
                </c:pt>
                <c:pt idx="24">
                  <c:v>58.19</c:v>
                </c:pt>
                <c:pt idx="25">
                  <c:v>56.77</c:v>
                </c:pt>
                <c:pt idx="26">
                  <c:v>53.1</c:v>
                </c:pt>
                <c:pt idx="27">
                  <c:v>53.15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1'!$D$5:$D$32</c:f>
              <c:numCache>
                <c:formatCode>General</c:formatCode>
                <c:ptCount val="28"/>
                <c:pt idx="0">
                  <c:v>53.9</c:v>
                </c:pt>
                <c:pt idx="1">
                  <c:v>31.05</c:v>
                </c:pt>
                <c:pt idx="2">
                  <c:v>32.49</c:v>
                </c:pt>
                <c:pt idx="3">
                  <c:v>31.89</c:v>
                </c:pt>
                <c:pt idx="4">
                  <c:v>8</c:v>
                </c:pt>
                <c:pt idx="5">
                  <c:v>30.4</c:v>
                </c:pt>
                <c:pt idx="6">
                  <c:v>39.950000000000003</c:v>
                </c:pt>
                <c:pt idx="7">
                  <c:v>36.01</c:v>
                </c:pt>
                <c:pt idx="8">
                  <c:v>42.64</c:v>
                </c:pt>
                <c:pt idx="9">
                  <c:v>45.6</c:v>
                </c:pt>
                <c:pt idx="10">
                  <c:v>44.86</c:v>
                </c:pt>
                <c:pt idx="11">
                  <c:v>32.19</c:v>
                </c:pt>
                <c:pt idx="12">
                  <c:v>29.85</c:v>
                </c:pt>
                <c:pt idx="13">
                  <c:v>39.33</c:v>
                </c:pt>
                <c:pt idx="14">
                  <c:v>42.39</c:v>
                </c:pt>
                <c:pt idx="15">
                  <c:v>41.73</c:v>
                </c:pt>
                <c:pt idx="16">
                  <c:v>45.13</c:v>
                </c:pt>
                <c:pt idx="17">
                  <c:v>44.64</c:v>
                </c:pt>
                <c:pt idx="18">
                  <c:v>38.39</c:v>
                </c:pt>
                <c:pt idx="19">
                  <c:v>36.4</c:v>
                </c:pt>
                <c:pt idx="20">
                  <c:v>34.99</c:v>
                </c:pt>
                <c:pt idx="21">
                  <c:v>39.64</c:v>
                </c:pt>
                <c:pt idx="22">
                  <c:v>45.13</c:v>
                </c:pt>
                <c:pt idx="23">
                  <c:v>38.01</c:v>
                </c:pt>
                <c:pt idx="24">
                  <c:v>41.5</c:v>
                </c:pt>
                <c:pt idx="25">
                  <c:v>41.69</c:v>
                </c:pt>
                <c:pt idx="26">
                  <c:v>34.92</c:v>
                </c:pt>
                <c:pt idx="27">
                  <c:v>21.07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50984"/>
        <c:axId val="349950592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val>
            <c:numRef>
              <c:f>'Data 1'!$E$5:$E$32</c:f>
              <c:numCache>
                <c:formatCode>0.00</c:formatCode>
                <c:ptCount val="28"/>
                <c:pt idx="0">
                  <c:v>70.082156859400001</c:v>
                </c:pt>
                <c:pt idx="1">
                  <c:v>50.153008597400003</c:v>
                </c:pt>
                <c:pt idx="2">
                  <c:v>48.883592502299997</c:v>
                </c:pt>
                <c:pt idx="3">
                  <c:v>44.820412226000002</c:v>
                </c:pt>
                <c:pt idx="4">
                  <c:v>29.908849820299999</c:v>
                </c:pt>
                <c:pt idx="5">
                  <c:v>50.546263565399997</c:v>
                </c:pt>
                <c:pt idx="6">
                  <c:v>56.413077319599999</c:v>
                </c:pt>
                <c:pt idx="7">
                  <c:v>56.314025092100003</c:v>
                </c:pt>
                <c:pt idx="8">
                  <c:v>62.331408281100003</c:v>
                </c:pt>
                <c:pt idx="9">
                  <c:v>65.7054962932</c:v>
                </c:pt>
                <c:pt idx="10">
                  <c:v>54.438228482500001</c:v>
                </c:pt>
                <c:pt idx="11">
                  <c:v>42.880532232999997</c:v>
                </c:pt>
                <c:pt idx="12">
                  <c:v>52.3560484594</c:v>
                </c:pt>
                <c:pt idx="13">
                  <c:v>57.301877941599997</c:v>
                </c:pt>
                <c:pt idx="14">
                  <c:v>57.7374634711</c:v>
                </c:pt>
                <c:pt idx="15">
                  <c:v>58.341866336300001</c:v>
                </c:pt>
                <c:pt idx="16">
                  <c:v>60.317972474900003</c:v>
                </c:pt>
                <c:pt idx="17">
                  <c:v>54.536174294200002</c:v>
                </c:pt>
                <c:pt idx="18">
                  <c:v>46.841557076800001</c:v>
                </c:pt>
                <c:pt idx="19">
                  <c:v>54.150533016700003</c:v>
                </c:pt>
                <c:pt idx="20">
                  <c:v>52.443654559499997</c:v>
                </c:pt>
                <c:pt idx="21">
                  <c:v>53.254345692800001</c:v>
                </c:pt>
                <c:pt idx="22">
                  <c:v>55.593463766699998</c:v>
                </c:pt>
                <c:pt idx="23">
                  <c:v>51.176204450100002</c:v>
                </c:pt>
                <c:pt idx="24">
                  <c:v>50.522433849199999</c:v>
                </c:pt>
                <c:pt idx="25">
                  <c:v>48.297878061200002</c:v>
                </c:pt>
                <c:pt idx="26">
                  <c:v>44.868738164</c:v>
                </c:pt>
                <c:pt idx="27">
                  <c:v>40.441033458900002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950984"/>
        <c:axId val="349950592"/>
      </c:lineChart>
      <c:catAx>
        <c:axId val="34995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9950592"/>
        <c:crosses val="autoZero"/>
        <c:auto val="1"/>
        <c:lblAlgn val="ctr"/>
        <c:lblOffset val="100"/>
        <c:noMultiLvlLbl val="0"/>
      </c:catAx>
      <c:valAx>
        <c:axId val="349950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995098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509.4827586207</c:v>
                </c:pt>
                <c:pt idx="1">
                  <c:v>516.16419919249995</c:v>
                </c:pt>
                <c:pt idx="2">
                  <c:v>505.7013888889</c:v>
                </c:pt>
                <c:pt idx="3">
                  <c:v>499.50134408600002</c:v>
                </c:pt>
                <c:pt idx="4">
                  <c:v>497.6458333333</c:v>
                </c:pt>
                <c:pt idx="5">
                  <c:v>513.09139784950003</c:v>
                </c:pt>
                <c:pt idx="6">
                  <c:v>509.94758064519999</c:v>
                </c:pt>
                <c:pt idx="7">
                  <c:v>514.5902777778</c:v>
                </c:pt>
                <c:pt idx="8">
                  <c:v>502.7570469799</c:v>
                </c:pt>
                <c:pt idx="9">
                  <c:v>509.3888888889</c:v>
                </c:pt>
                <c:pt idx="10">
                  <c:v>515.34946236559995</c:v>
                </c:pt>
                <c:pt idx="11">
                  <c:v>520.03225806449996</c:v>
                </c:pt>
                <c:pt idx="12">
                  <c:v>516.89732142859998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19856"/>
        <c:axId val="410919464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19856"/>
        <c:axId val="410919464"/>
      </c:lineChart>
      <c:valAx>
        <c:axId val="410919464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410919856"/>
        <c:crosses val="autoZero"/>
        <c:crossBetween val="between"/>
        <c:majorUnit val="200"/>
      </c:valAx>
      <c:catAx>
        <c:axId val="4109198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109194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Energia (GWh)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141.67554200000001</c:v>
                </c:pt>
                <c:pt idx="1">
                  <c:v>162.74266900000001</c:v>
                </c:pt>
                <c:pt idx="2">
                  <c:v>158.010876</c:v>
                </c:pt>
                <c:pt idx="3">
                  <c:v>182.30528000000001</c:v>
                </c:pt>
                <c:pt idx="4">
                  <c:v>127.443428</c:v>
                </c:pt>
                <c:pt idx="5">
                  <c:v>94.842940999999996</c:v>
                </c:pt>
                <c:pt idx="6">
                  <c:v>101.251535</c:v>
                </c:pt>
                <c:pt idx="7">
                  <c:v>95.450947999999997</c:v>
                </c:pt>
                <c:pt idx="8">
                  <c:v>89.660353999999998</c:v>
                </c:pt>
                <c:pt idx="9">
                  <c:v>103.079487</c:v>
                </c:pt>
                <c:pt idx="10">
                  <c:v>111.652906</c:v>
                </c:pt>
                <c:pt idx="11">
                  <c:v>114.09860500000001</c:v>
                </c:pt>
                <c:pt idx="12">
                  <c:v>123.06359399999999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20640"/>
        <c:axId val="410921032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38.562722844568327</c:v>
                </c:pt>
                <c:pt idx="1">
                  <c:v>35.379175205735379</c:v>
                </c:pt>
                <c:pt idx="2">
                  <c:v>33.68820441195453</c:v>
                </c:pt>
                <c:pt idx="3">
                  <c:v>34.957113419863653</c:v>
                </c:pt>
                <c:pt idx="4">
                  <c:v>42.795358659059303</c:v>
                </c:pt>
                <c:pt idx="5">
                  <c:v>42.778241450779127</c:v>
                </c:pt>
                <c:pt idx="6">
                  <c:v>42.113317590691338</c:v>
                </c:pt>
                <c:pt idx="7">
                  <c:v>44.897175667652867</c:v>
                </c:pt>
                <c:pt idx="8">
                  <c:v>52.98969943839392</c:v>
                </c:pt>
                <c:pt idx="9">
                  <c:v>58.889238651333223</c:v>
                </c:pt>
                <c:pt idx="10">
                  <c:v>62.754847688424697</c:v>
                </c:pt>
                <c:pt idx="11">
                  <c:v>75.307173036865791</c:v>
                </c:pt>
                <c:pt idx="12">
                  <c:v>56.121769286211482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21816"/>
        <c:axId val="410921424"/>
      </c:lineChart>
      <c:catAx>
        <c:axId val="4109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1032"/>
        <c:crosses val="autoZero"/>
        <c:auto val="1"/>
        <c:lblAlgn val="ctr"/>
        <c:lblOffset val="100"/>
        <c:noMultiLvlLbl val="1"/>
      </c:catAx>
      <c:valAx>
        <c:axId val="41092103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0640"/>
        <c:crosses val="autoZero"/>
        <c:crossBetween val="between"/>
        <c:majorUnit val="50"/>
      </c:valAx>
      <c:valAx>
        <c:axId val="41092142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1816"/>
        <c:crosses val="max"/>
        <c:crossBetween val="between"/>
        <c:majorUnit val="20"/>
      </c:valAx>
      <c:catAx>
        <c:axId val="410921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921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0</c:formatCode>
                <c:ptCount val="13"/>
                <c:pt idx="0">
                  <c:v>72.172269</c:v>
                </c:pt>
                <c:pt idx="1">
                  <c:v>69.477337000000006</c:v>
                </c:pt>
                <c:pt idx="2">
                  <c:v>69.237797999999998</c:v>
                </c:pt>
                <c:pt idx="3">
                  <c:v>57.735940999999997</c:v>
                </c:pt>
                <c:pt idx="4">
                  <c:v>73.081980000000001</c:v>
                </c:pt>
                <c:pt idx="5">
                  <c:v>91.860525999999993</c:v>
                </c:pt>
                <c:pt idx="6">
                  <c:v>86.754802999999995</c:v>
                </c:pt>
                <c:pt idx="7">
                  <c:v>97.600018000000006</c:v>
                </c:pt>
                <c:pt idx="8">
                  <c:v>116.44212400000001</c:v>
                </c:pt>
                <c:pt idx="9">
                  <c:v>105.77510700000001</c:v>
                </c:pt>
                <c:pt idx="10">
                  <c:v>84.597136000000006</c:v>
                </c:pt>
                <c:pt idx="11">
                  <c:v>108.041453</c:v>
                </c:pt>
                <c:pt idx="12">
                  <c:v>65.058026999999996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22992"/>
        <c:axId val="410922600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17.34381539258521</c:v>
                </c:pt>
                <c:pt idx="1">
                  <c:v>17.10596895790637</c:v>
                </c:pt>
                <c:pt idx="2">
                  <c:v>11.68484156587418</c:v>
                </c:pt>
                <c:pt idx="3">
                  <c:v>15.77383384121166</c:v>
                </c:pt>
                <c:pt idx="4">
                  <c:v>29.03167005053777</c:v>
                </c:pt>
                <c:pt idx="5">
                  <c:v>33.197472982029304</c:v>
                </c:pt>
                <c:pt idx="6">
                  <c:v>32.055494956285017</c:v>
                </c:pt>
                <c:pt idx="7">
                  <c:v>35.148232452170241</c:v>
                </c:pt>
                <c:pt idx="8">
                  <c:v>45.464406849878493</c:v>
                </c:pt>
                <c:pt idx="9">
                  <c:v>50.752464660706977</c:v>
                </c:pt>
                <c:pt idx="10">
                  <c:v>52.399029560527907</c:v>
                </c:pt>
                <c:pt idx="11">
                  <c:v>65.800001782649105</c:v>
                </c:pt>
                <c:pt idx="12">
                  <c:v>39.86910039555918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23776"/>
        <c:axId val="410923384"/>
      </c:lineChart>
      <c:valAx>
        <c:axId val="410922600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410922992"/>
        <c:crosses val="autoZero"/>
        <c:crossBetween val="between"/>
        <c:majorUnit val="50"/>
      </c:valAx>
      <c:catAx>
        <c:axId val="4109229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10922600"/>
        <c:crosses val="autoZero"/>
        <c:auto val="1"/>
        <c:lblAlgn val="ctr"/>
        <c:lblOffset val="100"/>
        <c:noMultiLvlLbl val="0"/>
      </c:catAx>
      <c:valAx>
        <c:axId val="41092338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923776"/>
        <c:crosses val="max"/>
        <c:crossBetween val="between"/>
        <c:majorUnit val="20"/>
      </c:valAx>
      <c:catAx>
        <c:axId val="410923776"/>
        <c:scaling>
          <c:orientation val="minMax"/>
        </c:scaling>
        <c:delete val="1"/>
        <c:axPos val="t"/>
        <c:majorTickMark val="out"/>
        <c:minorTickMark val="none"/>
        <c:tickLblPos val="nextTo"/>
        <c:crossAx val="41092338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667317777653019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43794.400000000001</c:v>
                </c:pt>
                <c:pt idx="1">
                  <c:v>18462.8</c:v>
                </c:pt>
                <c:pt idx="2">
                  <c:v>9128.2000000000007</c:v>
                </c:pt>
                <c:pt idx="3">
                  <c:v>12444.9</c:v>
                </c:pt>
                <c:pt idx="4">
                  <c:v>27670.2</c:v>
                </c:pt>
                <c:pt idx="5">
                  <c:v>26575.7</c:v>
                </c:pt>
                <c:pt idx="6">
                  <c:v>32372.1</c:v>
                </c:pt>
                <c:pt idx="7">
                  <c:v>46810.1</c:v>
                </c:pt>
                <c:pt idx="8">
                  <c:v>30606.2</c:v>
                </c:pt>
                <c:pt idx="9">
                  <c:v>38654</c:v>
                </c:pt>
                <c:pt idx="10">
                  <c:v>48332.5</c:v>
                </c:pt>
                <c:pt idx="11">
                  <c:v>29873.4</c:v>
                </c:pt>
                <c:pt idx="12">
                  <c:v>92635.5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11177.4</c:v>
                </c:pt>
                <c:pt idx="1">
                  <c:v>3751.2</c:v>
                </c:pt>
                <c:pt idx="2">
                  <c:v>8591.4</c:v>
                </c:pt>
                <c:pt idx="3">
                  <c:v>11889.1</c:v>
                </c:pt>
                <c:pt idx="4">
                  <c:v>15256.9</c:v>
                </c:pt>
                <c:pt idx="5">
                  <c:v>17125.2</c:v>
                </c:pt>
                <c:pt idx="6">
                  <c:v>19882</c:v>
                </c:pt>
                <c:pt idx="7">
                  <c:v>21088.9</c:v>
                </c:pt>
                <c:pt idx="8">
                  <c:v>25077.200000000001</c:v>
                </c:pt>
                <c:pt idx="9">
                  <c:v>23471.9</c:v>
                </c:pt>
                <c:pt idx="10">
                  <c:v>32343</c:v>
                </c:pt>
                <c:pt idx="11">
                  <c:v>31257.5</c:v>
                </c:pt>
                <c:pt idx="12">
                  <c:v>28594.2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  <c:pt idx="7">
                  <c:v>0</c:v>
                </c:pt>
                <c:pt idx="8">
                  <c:v>351.5</c:v>
                </c:pt>
                <c:pt idx="9">
                  <c:v>1088.5</c:v>
                </c:pt>
                <c:pt idx="10">
                  <c:v>1137.0999999999999</c:v>
                </c:pt>
                <c:pt idx="11">
                  <c:v>232.7</c:v>
                </c:pt>
                <c:pt idx="12">
                  <c:v>463.1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53203.199999999997</c:v>
                </c:pt>
                <c:pt idx="1">
                  <c:v>99732.800000000003</c:v>
                </c:pt>
                <c:pt idx="2">
                  <c:v>84739.1</c:v>
                </c:pt>
                <c:pt idx="3">
                  <c:v>63369.7</c:v>
                </c:pt>
                <c:pt idx="4">
                  <c:v>30546.6</c:v>
                </c:pt>
                <c:pt idx="5">
                  <c:v>22647.3</c:v>
                </c:pt>
                <c:pt idx="6">
                  <c:v>39268.199999999997</c:v>
                </c:pt>
                <c:pt idx="7">
                  <c:v>44806.400000000001</c:v>
                </c:pt>
                <c:pt idx="8">
                  <c:v>27192.1</c:v>
                </c:pt>
                <c:pt idx="9">
                  <c:v>28952.2</c:v>
                </c:pt>
                <c:pt idx="10">
                  <c:v>21197.200000000001</c:v>
                </c:pt>
                <c:pt idx="11">
                  <c:v>29718.6</c:v>
                </c:pt>
                <c:pt idx="12">
                  <c:v>59071.9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4519.6000000000004</c:v>
                </c:pt>
                <c:pt idx="3">
                  <c:v>10841.6</c:v>
                </c:pt>
                <c:pt idx="4">
                  <c:v>4860.6000000000004</c:v>
                </c:pt>
                <c:pt idx="5">
                  <c:v>4001.3</c:v>
                </c:pt>
                <c:pt idx="6">
                  <c:v>8039.4</c:v>
                </c:pt>
                <c:pt idx="7">
                  <c:v>3126.2</c:v>
                </c:pt>
                <c:pt idx="8">
                  <c:v>4972</c:v>
                </c:pt>
                <c:pt idx="9">
                  <c:v>12138.1</c:v>
                </c:pt>
                <c:pt idx="10">
                  <c:v>3426.7</c:v>
                </c:pt>
                <c:pt idx="11">
                  <c:v>2813.5</c:v>
                </c:pt>
                <c:pt idx="12">
                  <c:v>13978.3</c:v>
                </c:pt>
              </c:numCache>
            </c:numRef>
          </c:val>
        </c:ser>
        <c:ser>
          <c:idx val="9"/>
          <c:order val="7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22399</c:v>
                </c:pt>
                <c:pt idx="1">
                  <c:v>27305.599999999999</c:v>
                </c:pt>
                <c:pt idx="2">
                  <c:v>30920</c:v>
                </c:pt>
                <c:pt idx="3">
                  <c:v>24843.5</c:v>
                </c:pt>
                <c:pt idx="4">
                  <c:v>13133.6</c:v>
                </c:pt>
                <c:pt idx="5">
                  <c:v>9478.7999999999993</c:v>
                </c:pt>
                <c:pt idx="6">
                  <c:v>14094.1</c:v>
                </c:pt>
                <c:pt idx="7">
                  <c:v>8427.2000000000007</c:v>
                </c:pt>
                <c:pt idx="8">
                  <c:v>25903.4</c:v>
                </c:pt>
                <c:pt idx="9">
                  <c:v>20858.900000000001</c:v>
                </c:pt>
                <c:pt idx="10">
                  <c:v>25403.7</c:v>
                </c:pt>
                <c:pt idx="11">
                  <c:v>48230.3</c:v>
                </c:pt>
                <c:pt idx="12">
                  <c:v>19654.8</c:v>
                </c:pt>
              </c:numCache>
            </c:numRef>
          </c:val>
        </c:ser>
        <c:ser>
          <c:idx val="8"/>
          <c:order val="8"/>
          <c:tx>
            <c:strRef>
              <c:f>'Data 2'!$C$60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2'!$D$60:$P$60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424.5</c:v>
                </c:pt>
                <c:pt idx="1">
                  <c:v>8.3000000000000007</c:v>
                </c:pt>
                <c:pt idx="2">
                  <c:v>0</c:v>
                </c:pt>
                <c:pt idx="3">
                  <c:v>260</c:v>
                </c:pt>
                <c:pt idx="4">
                  <c:v>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171.9</c:v>
                </c:pt>
                <c:pt idx="9">
                  <c:v>0</c:v>
                </c:pt>
                <c:pt idx="10">
                  <c:v>222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6"/>
          <c:order val="11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12599.6</c:v>
                </c:pt>
                <c:pt idx="1">
                  <c:v>13117.3</c:v>
                </c:pt>
                <c:pt idx="2">
                  <c:v>16195.4</c:v>
                </c:pt>
                <c:pt idx="3">
                  <c:v>6935.7</c:v>
                </c:pt>
                <c:pt idx="4">
                  <c:v>583.9</c:v>
                </c:pt>
                <c:pt idx="5">
                  <c:v>608.4</c:v>
                </c:pt>
                <c:pt idx="6">
                  <c:v>2953</c:v>
                </c:pt>
                <c:pt idx="7">
                  <c:v>5288</c:v>
                </c:pt>
                <c:pt idx="8">
                  <c:v>4234.3999999999996</c:v>
                </c:pt>
                <c:pt idx="9">
                  <c:v>1910.4</c:v>
                </c:pt>
                <c:pt idx="10">
                  <c:v>6361.9</c:v>
                </c:pt>
                <c:pt idx="11">
                  <c:v>3337.1</c:v>
                </c:pt>
                <c:pt idx="12">
                  <c:v>9063.5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24560"/>
        <c:axId val="41092495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2'!$C$64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2'!$D$64:$P$64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10.84432217417918</c:v>
                </c:pt>
                <c:pt idx="1">
                  <c:v>5.3591661431967381</c:v>
                </c:pt>
                <c:pt idx="2">
                  <c:v>3.8641131986577002</c:v>
                </c:pt>
                <c:pt idx="3">
                  <c:v>5.2265654805891968</c:v>
                </c:pt>
                <c:pt idx="4">
                  <c:v>17.557231438164859</c:v>
                </c:pt>
                <c:pt idx="5">
                  <c:v>26.86901203057808</c:v>
                </c:pt>
                <c:pt idx="6">
                  <c:v>23.897432801416009</c:v>
                </c:pt>
                <c:pt idx="7">
                  <c:v>26.829993639364311</c:v>
                </c:pt>
                <c:pt idx="8">
                  <c:v>38.168603739641057</c:v>
                </c:pt>
                <c:pt idx="9">
                  <c:v>34.907456206619763</c:v>
                </c:pt>
                <c:pt idx="10">
                  <c:v>40.305706087307051</c:v>
                </c:pt>
                <c:pt idx="11">
                  <c:v>51.364834243186067</c:v>
                </c:pt>
                <c:pt idx="12">
                  <c:v>28.525761104943001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25736"/>
        <c:axId val="410925344"/>
      </c:lineChart>
      <c:catAx>
        <c:axId val="4109245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10924952"/>
        <c:crosses val="autoZero"/>
        <c:auto val="1"/>
        <c:lblAlgn val="ctr"/>
        <c:lblOffset val="100"/>
        <c:noMultiLvlLbl val="0"/>
      </c:catAx>
      <c:valAx>
        <c:axId val="41092495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4560"/>
        <c:crosses val="autoZero"/>
        <c:crossBetween val="between"/>
        <c:dispUnits>
          <c:builtInUnit val="thousands"/>
        </c:dispUnits>
      </c:valAx>
      <c:valAx>
        <c:axId val="410925344"/>
        <c:scaling>
          <c:orientation val="maxMin"/>
          <c:max val="10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5736"/>
        <c:crosses val="max"/>
        <c:crossBetween val="between"/>
        <c:majorUnit val="15"/>
      </c:valAx>
      <c:catAx>
        <c:axId val="410925736"/>
        <c:scaling>
          <c:orientation val="minMax"/>
        </c:scaling>
        <c:delete val="1"/>
        <c:axPos val="t"/>
        <c:majorTickMark val="out"/>
        <c:minorTickMark val="none"/>
        <c:tickLblPos val="nextTo"/>
        <c:crossAx val="410925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132067383885859E-2"/>
          <c:y val="0.7959260714776607"/>
          <c:w val="0.93638800437519099"/>
          <c:h val="0.17457066361051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6353076957830703"/>
          <c:w val="0.90427766318885094"/>
          <c:h val="0.6957800835716481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49270.8</c:v>
                </c:pt>
                <c:pt idx="1">
                  <c:v>46981.5</c:v>
                </c:pt>
                <c:pt idx="2">
                  <c:v>48797.4</c:v>
                </c:pt>
                <c:pt idx="3">
                  <c:v>53629.9</c:v>
                </c:pt>
                <c:pt idx="4">
                  <c:v>56105.7</c:v>
                </c:pt>
                <c:pt idx="5">
                  <c:v>52336</c:v>
                </c:pt>
                <c:pt idx="6">
                  <c:v>37334.5</c:v>
                </c:pt>
                <c:pt idx="7">
                  <c:v>37698.5</c:v>
                </c:pt>
                <c:pt idx="8">
                  <c:v>28157.599999999999</c:v>
                </c:pt>
                <c:pt idx="9">
                  <c:v>34938.5</c:v>
                </c:pt>
                <c:pt idx="10">
                  <c:v>38367.5</c:v>
                </c:pt>
                <c:pt idx="11">
                  <c:v>33693.800000000003</c:v>
                </c:pt>
                <c:pt idx="12">
                  <c:v>19518.400000000001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49534.1</c:v>
                </c:pt>
                <c:pt idx="1">
                  <c:v>51189.9</c:v>
                </c:pt>
                <c:pt idx="2">
                  <c:v>57355.9</c:v>
                </c:pt>
                <c:pt idx="3">
                  <c:v>65079.6</c:v>
                </c:pt>
                <c:pt idx="4">
                  <c:v>88155</c:v>
                </c:pt>
                <c:pt idx="5">
                  <c:v>94541.2</c:v>
                </c:pt>
                <c:pt idx="6">
                  <c:v>67871</c:v>
                </c:pt>
                <c:pt idx="7">
                  <c:v>66682.3</c:v>
                </c:pt>
                <c:pt idx="8">
                  <c:v>75179.899999999994</c:v>
                </c:pt>
                <c:pt idx="9">
                  <c:v>96462</c:v>
                </c:pt>
                <c:pt idx="10">
                  <c:v>66989.600000000006</c:v>
                </c:pt>
                <c:pt idx="11">
                  <c:v>71645.3</c:v>
                </c:pt>
                <c:pt idx="12">
                  <c:v>30319.3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2.2000000000000002</c:v>
                </c:pt>
                <c:pt idx="9">
                  <c:v>10.5</c:v>
                </c:pt>
                <c:pt idx="10">
                  <c:v>22.7</c:v>
                </c:pt>
                <c:pt idx="11">
                  <c:v>16.3</c:v>
                </c:pt>
                <c:pt idx="12">
                  <c:v>9.6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16650.5</c:v>
                </c:pt>
                <c:pt idx="1">
                  <c:v>6160.8</c:v>
                </c:pt>
                <c:pt idx="2">
                  <c:v>12859</c:v>
                </c:pt>
                <c:pt idx="3">
                  <c:v>15177.5</c:v>
                </c:pt>
                <c:pt idx="4">
                  <c:v>4098</c:v>
                </c:pt>
                <c:pt idx="5">
                  <c:v>1399.6</c:v>
                </c:pt>
                <c:pt idx="6">
                  <c:v>1577.6</c:v>
                </c:pt>
                <c:pt idx="7">
                  <c:v>1355</c:v>
                </c:pt>
                <c:pt idx="8">
                  <c:v>3499.1</c:v>
                </c:pt>
                <c:pt idx="9">
                  <c:v>3432.1</c:v>
                </c:pt>
                <c:pt idx="10">
                  <c:v>3010.5</c:v>
                </c:pt>
                <c:pt idx="11">
                  <c:v>5899.1</c:v>
                </c:pt>
                <c:pt idx="12">
                  <c:v>4595.7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204.7</c:v>
                </c:pt>
                <c:pt idx="3">
                  <c:v>1551.4</c:v>
                </c:pt>
                <c:pt idx="4">
                  <c:v>1765.6</c:v>
                </c:pt>
                <c:pt idx="5">
                  <c:v>1952.7</c:v>
                </c:pt>
                <c:pt idx="6">
                  <c:v>2939.5</c:v>
                </c:pt>
                <c:pt idx="7">
                  <c:v>2661.1</c:v>
                </c:pt>
                <c:pt idx="8">
                  <c:v>2164.6999999999998</c:v>
                </c:pt>
                <c:pt idx="9">
                  <c:v>3197.2</c:v>
                </c:pt>
                <c:pt idx="10">
                  <c:v>2208.6</c:v>
                </c:pt>
                <c:pt idx="11">
                  <c:v>4288.7</c:v>
                </c:pt>
                <c:pt idx="12">
                  <c:v>2486.3000000000002</c:v>
                </c:pt>
              </c:numCache>
            </c:numRef>
          </c:val>
        </c:ser>
        <c:ser>
          <c:idx val="8"/>
          <c:order val="7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39582.6</c:v>
                </c:pt>
                <c:pt idx="1">
                  <c:v>79699.3</c:v>
                </c:pt>
                <c:pt idx="2">
                  <c:v>61249.4</c:v>
                </c:pt>
                <c:pt idx="3">
                  <c:v>50504.5</c:v>
                </c:pt>
                <c:pt idx="4">
                  <c:v>53472.5</c:v>
                </c:pt>
                <c:pt idx="5">
                  <c:v>50314</c:v>
                </c:pt>
                <c:pt idx="6">
                  <c:v>37964.300000000003</c:v>
                </c:pt>
                <c:pt idx="7">
                  <c:v>53272.9</c:v>
                </c:pt>
                <c:pt idx="8">
                  <c:v>70061.5</c:v>
                </c:pt>
                <c:pt idx="9">
                  <c:v>72313.8</c:v>
                </c:pt>
                <c:pt idx="10">
                  <c:v>52585.3</c:v>
                </c:pt>
                <c:pt idx="11">
                  <c:v>99664.7</c:v>
                </c:pt>
                <c:pt idx="12">
                  <c:v>21689.9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315</c:v>
                </c:pt>
                <c:pt idx="1">
                  <c:v>394.1</c:v>
                </c:pt>
                <c:pt idx="2">
                  <c:v>0</c:v>
                </c:pt>
                <c:pt idx="3">
                  <c:v>57</c:v>
                </c:pt>
                <c:pt idx="4">
                  <c:v>75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21.9</c:v>
                </c:pt>
                <c:pt idx="9">
                  <c:v>0</c:v>
                </c:pt>
                <c:pt idx="10">
                  <c:v>619.5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39346.800000000003</c:v>
                </c:pt>
                <c:pt idx="1">
                  <c:v>36350.1</c:v>
                </c:pt>
                <c:pt idx="2">
                  <c:v>38883.699999999997</c:v>
                </c:pt>
                <c:pt idx="3">
                  <c:v>37889.800000000003</c:v>
                </c:pt>
                <c:pt idx="4">
                  <c:v>25898.400000000001</c:v>
                </c:pt>
                <c:pt idx="5">
                  <c:v>24575.3</c:v>
                </c:pt>
                <c:pt idx="6">
                  <c:v>23687.200000000001</c:v>
                </c:pt>
                <c:pt idx="7">
                  <c:v>23588.2</c:v>
                </c:pt>
                <c:pt idx="8">
                  <c:v>29280.6</c:v>
                </c:pt>
                <c:pt idx="9">
                  <c:v>56573.1</c:v>
                </c:pt>
                <c:pt idx="10">
                  <c:v>39099.800000000003</c:v>
                </c:pt>
                <c:pt idx="11">
                  <c:v>74414.2</c:v>
                </c:pt>
                <c:pt idx="12">
                  <c:v>32220.5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26520"/>
        <c:axId val="41092691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2'!$C$47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2'!$D$47:$P$47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42.758781878563823</c:v>
                </c:pt>
                <c:pt idx="1">
                  <c:v>42.131023658853763</c:v>
                </c:pt>
                <c:pt idx="2">
                  <c:v>38.967348635810971</c:v>
                </c:pt>
                <c:pt idx="3">
                  <c:v>38.088840978392483</c:v>
                </c:pt>
                <c:pt idx="4">
                  <c:v>46.215583904182687</c:v>
                </c:pt>
                <c:pt idx="5">
                  <c:v>46.918287322071727</c:v>
                </c:pt>
                <c:pt idx="6">
                  <c:v>46.126766534946803</c:v>
                </c:pt>
                <c:pt idx="7">
                  <c:v>49.102792214101413</c:v>
                </c:pt>
                <c:pt idx="8">
                  <c:v>59.519913470190893</c:v>
                </c:pt>
                <c:pt idx="9">
                  <c:v>67.237482616983201</c:v>
                </c:pt>
                <c:pt idx="10">
                  <c:v>69.353032254248944</c:v>
                </c:pt>
                <c:pt idx="11">
                  <c:v>86.022068378069221</c:v>
                </c:pt>
                <c:pt idx="12">
                  <c:v>68.272500196229331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27696"/>
        <c:axId val="410927304"/>
      </c:lineChart>
      <c:catAx>
        <c:axId val="41092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6912"/>
        <c:crosses val="autoZero"/>
        <c:auto val="1"/>
        <c:lblAlgn val="ctr"/>
        <c:lblOffset val="100"/>
        <c:noMultiLvlLbl val="0"/>
      </c:catAx>
      <c:valAx>
        <c:axId val="410926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6520"/>
        <c:crosses val="autoZero"/>
        <c:crossBetween val="between"/>
        <c:dispUnits>
          <c:builtInUnit val="thousands"/>
        </c:dispUnits>
      </c:valAx>
      <c:valAx>
        <c:axId val="41092730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7696"/>
        <c:crosses val="max"/>
        <c:crossBetween val="between"/>
        <c:majorUnit val="15"/>
      </c:valAx>
      <c:catAx>
        <c:axId val="41092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927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11885.7</c:v>
                </c:pt>
                <c:pt idx="1">
                  <c:v>8482.9</c:v>
                </c:pt>
                <c:pt idx="2">
                  <c:v>2481.1999999999998</c:v>
                </c:pt>
                <c:pt idx="3">
                  <c:v>2502.1</c:v>
                </c:pt>
                <c:pt idx="4">
                  <c:v>9826.2999999999993</c:v>
                </c:pt>
                <c:pt idx="5">
                  <c:v>16804.900000000001</c:v>
                </c:pt>
                <c:pt idx="6">
                  <c:v>20254.099999999999</c:v>
                </c:pt>
                <c:pt idx="7">
                  <c:v>28176.400000000001</c:v>
                </c:pt>
                <c:pt idx="8">
                  <c:v>10892.6</c:v>
                </c:pt>
                <c:pt idx="9">
                  <c:v>5563.5</c:v>
                </c:pt>
                <c:pt idx="10">
                  <c:v>12581.1</c:v>
                </c:pt>
                <c:pt idx="11">
                  <c:v>7306.9</c:v>
                </c:pt>
                <c:pt idx="12">
                  <c:v>50376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2095.1999999999998</c:v>
                </c:pt>
                <c:pt idx="1">
                  <c:v>1097</c:v>
                </c:pt>
                <c:pt idx="2">
                  <c:v>973</c:v>
                </c:pt>
                <c:pt idx="3">
                  <c:v>1126</c:v>
                </c:pt>
                <c:pt idx="4">
                  <c:v>3497.3</c:v>
                </c:pt>
                <c:pt idx="5">
                  <c:v>9200.1</c:v>
                </c:pt>
                <c:pt idx="6">
                  <c:v>4502.5</c:v>
                </c:pt>
                <c:pt idx="7">
                  <c:v>12664.3</c:v>
                </c:pt>
                <c:pt idx="8">
                  <c:v>9459.2999999999993</c:v>
                </c:pt>
                <c:pt idx="9">
                  <c:v>5060.2</c:v>
                </c:pt>
                <c:pt idx="10">
                  <c:v>13203.9</c:v>
                </c:pt>
                <c:pt idx="11">
                  <c:v>11559.1</c:v>
                </c:pt>
                <c:pt idx="12">
                  <c:v>18600.8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113</c:v>
                </c:pt>
                <c:pt idx="10">
                  <c:v>233</c:v>
                </c:pt>
                <c:pt idx="11">
                  <c:v>88</c:v>
                </c:pt>
                <c:pt idx="12">
                  <c:v>92.8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8367.7000000000007</c:v>
                </c:pt>
                <c:pt idx="1">
                  <c:v>28368.3</c:v>
                </c:pt>
                <c:pt idx="2">
                  <c:v>16964.8</c:v>
                </c:pt>
                <c:pt idx="3">
                  <c:v>10105.799999999999</c:v>
                </c:pt>
                <c:pt idx="4">
                  <c:v>8231.5</c:v>
                </c:pt>
                <c:pt idx="5">
                  <c:v>4654.1000000000004</c:v>
                </c:pt>
                <c:pt idx="6">
                  <c:v>14825.7</c:v>
                </c:pt>
                <c:pt idx="7">
                  <c:v>15166.3</c:v>
                </c:pt>
                <c:pt idx="8">
                  <c:v>7585</c:v>
                </c:pt>
                <c:pt idx="9">
                  <c:v>7129.2</c:v>
                </c:pt>
                <c:pt idx="10">
                  <c:v>6261.8</c:v>
                </c:pt>
                <c:pt idx="11">
                  <c:v>7999</c:v>
                </c:pt>
                <c:pt idx="12">
                  <c:v>18257.2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176.9</c:v>
                </c:pt>
                <c:pt idx="4">
                  <c:v>242</c:v>
                </c:pt>
                <c:pt idx="5">
                  <c:v>369.5</c:v>
                </c:pt>
                <c:pt idx="6">
                  <c:v>422.9</c:v>
                </c:pt>
                <c:pt idx="7">
                  <c:v>462.1</c:v>
                </c:pt>
                <c:pt idx="8">
                  <c:v>201.8</c:v>
                </c:pt>
                <c:pt idx="9">
                  <c:v>169.4</c:v>
                </c:pt>
                <c:pt idx="10">
                  <c:v>220.5</c:v>
                </c:pt>
                <c:pt idx="11">
                  <c:v>402.8</c:v>
                </c:pt>
                <c:pt idx="12">
                  <c:v>867.9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9252.1</c:v>
                </c:pt>
                <c:pt idx="1">
                  <c:v>6471.7</c:v>
                </c:pt>
                <c:pt idx="2">
                  <c:v>7876.1</c:v>
                </c:pt>
                <c:pt idx="3">
                  <c:v>4467.7</c:v>
                </c:pt>
                <c:pt idx="4">
                  <c:v>3677.4</c:v>
                </c:pt>
                <c:pt idx="5">
                  <c:v>7625.8</c:v>
                </c:pt>
                <c:pt idx="6">
                  <c:v>13215.2</c:v>
                </c:pt>
                <c:pt idx="7">
                  <c:v>8996.5</c:v>
                </c:pt>
                <c:pt idx="8">
                  <c:v>8745.2999999999993</c:v>
                </c:pt>
                <c:pt idx="9">
                  <c:v>3964.2</c:v>
                </c:pt>
                <c:pt idx="10">
                  <c:v>5846.4</c:v>
                </c:pt>
                <c:pt idx="11">
                  <c:v>17797.7</c:v>
                </c:pt>
                <c:pt idx="12">
                  <c:v>17793.5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2'!$C$100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2538.1</c:v>
                </c:pt>
                <c:pt idx="1">
                  <c:v>4284.6000000000004</c:v>
                </c:pt>
                <c:pt idx="2">
                  <c:v>1848.7</c:v>
                </c:pt>
                <c:pt idx="3">
                  <c:v>1975.3</c:v>
                </c:pt>
                <c:pt idx="4">
                  <c:v>129.80000000000001</c:v>
                </c:pt>
                <c:pt idx="5">
                  <c:v>107.2</c:v>
                </c:pt>
                <c:pt idx="6">
                  <c:v>462.9</c:v>
                </c:pt>
                <c:pt idx="7">
                  <c:v>3124.7</c:v>
                </c:pt>
                <c:pt idx="8">
                  <c:v>691.6</c:v>
                </c:pt>
                <c:pt idx="9">
                  <c:v>709</c:v>
                </c:pt>
                <c:pt idx="10">
                  <c:v>1688.7</c:v>
                </c:pt>
                <c:pt idx="11">
                  <c:v>1941.3</c:v>
                </c:pt>
                <c:pt idx="12">
                  <c:v>4596.7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28480"/>
        <c:axId val="410928872"/>
      </c:barChart>
      <c:lineChart>
        <c:grouping val="standard"/>
        <c:varyColors val="0"/>
        <c:ser>
          <c:idx val="8"/>
          <c:order val="8"/>
          <c:tx>
            <c:v>Precio medio a subir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2'!$D$104:$P$104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9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2'!$D$103:$P$103</c:f>
              <c:numCache>
                <c:formatCode>#,##0.0</c:formatCode>
                <c:ptCount val="13"/>
                <c:pt idx="0">
                  <c:v>16.168519784508948</c:v>
                </c:pt>
                <c:pt idx="1">
                  <c:v>13.89181636193781</c:v>
                </c:pt>
                <c:pt idx="2">
                  <c:v>4.8816104804304699</c:v>
                </c:pt>
                <c:pt idx="3">
                  <c:v>12.852526309583469</c:v>
                </c:pt>
                <c:pt idx="4">
                  <c:v>24.859456028870149</c:v>
                </c:pt>
                <c:pt idx="5">
                  <c:v>31.89916283125568</c:v>
                </c:pt>
                <c:pt idx="6">
                  <c:v>26.904423163255611</c:v>
                </c:pt>
                <c:pt idx="7">
                  <c:v>32.704484015961441</c:v>
                </c:pt>
                <c:pt idx="8">
                  <c:v>42.427821282843823</c:v>
                </c:pt>
                <c:pt idx="9">
                  <c:v>39.590902965849793</c:v>
                </c:pt>
                <c:pt idx="10">
                  <c:v>47.524236561388832</c:v>
                </c:pt>
                <c:pt idx="11">
                  <c:v>56.505910843660018</c:v>
                </c:pt>
                <c:pt idx="12">
                  <c:v>39.278952460959857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29656"/>
        <c:axId val="410929264"/>
      </c:lineChart>
      <c:catAx>
        <c:axId val="410928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10928872"/>
        <c:crosses val="autoZero"/>
        <c:auto val="1"/>
        <c:lblAlgn val="ctr"/>
        <c:lblOffset val="100"/>
        <c:noMultiLvlLbl val="0"/>
      </c:catAx>
      <c:valAx>
        <c:axId val="410928872"/>
        <c:scaling>
          <c:orientation val="maxMin"/>
          <c:max val="18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8480"/>
        <c:crosses val="autoZero"/>
        <c:crossBetween val="between"/>
        <c:dispUnits>
          <c:builtInUnit val="thousands"/>
        </c:dispUnits>
      </c:valAx>
      <c:valAx>
        <c:axId val="410929264"/>
        <c:scaling>
          <c:orientation val="maxMin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9656"/>
        <c:crosses val="max"/>
        <c:crossBetween val="between"/>
        <c:majorUnit val="10"/>
      </c:valAx>
      <c:catAx>
        <c:axId val="410929656"/>
        <c:scaling>
          <c:orientation val="minMax"/>
        </c:scaling>
        <c:delete val="1"/>
        <c:axPos val="t"/>
        <c:majorTickMark val="out"/>
        <c:minorTickMark val="none"/>
        <c:tickLblPos val="nextTo"/>
        <c:crossAx val="41092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29783.200000000001</c:v>
                </c:pt>
                <c:pt idx="1">
                  <c:v>37820.300000000003</c:v>
                </c:pt>
                <c:pt idx="2">
                  <c:v>24502</c:v>
                </c:pt>
                <c:pt idx="3">
                  <c:v>18542.900000000001</c:v>
                </c:pt>
                <c:pt idx="4">
                  <c:v>32003.200000000001</c:v>
                </c:pt>
                <c:pt idx="5">
                  <c:v>51324.2</c:v>
                </c:pt>
                <c:pt idx="6">
                  <c:v>19608</c:v>
                </c:pt>
                <c:pt idx="7">
                  <c:v>51777.2</c:v>
                </c:pt>
                <c:pt idx="8">
                  <c:v>16527.099999999999</c:v>
                </c:pt>
                <c:pt idx="9">
                  <c:v>27911.599999999999</c:v>
                </c:pt>
                <c:pt idx="10">
                  <c:v>14759.8</c:v>
                </c:pt>
                <c:pt idx="11">
                  <c:v>27333.200000000001</c:v>
                </c:pt>
                <c:pt idx="12">
                  <c:v>11782.3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13923.2</c:v>
                </c:pt>
                <c:pt idx="1">
                  <c:v>19028.5</c:v>
                </c:pt>
                <c:pt idx="2">
                  <c:v>15019.4</c:v>
                </c:pt>
                <c:pt idx="3">
                  <c:v>12194.7</c:v>
                </c:pt>
                <c:pt idx="4">
                  <c:v>25715</c:v>
                </c:pt>
                <c:pt idx="5">
                  <c:v>59857.5</c:v>
                </c:pt>
                <c:pt idx="6">
                  <c:v>34074</c:v>
                </c:pt>
                <c:pt idx="7">
                  <c:v>60003.199999999997</c:v>
                </c:pt>
                <c:pt idx="8">
                  <c:v>30870.5</c:v>
                </c:pt>
                <c:pt idx="9">
                  <c:v>59353</c:v>
                </c:pt>
                <c:pt idx="10">
                  <c:v>21112.2</c:v>
                </c:pt>
                <c:pt idx="11">
                  <c:v>50390.400000000001</c:v>
                </c:pt>
                <c:pt idx="12">
                  <c:v>9297.4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0</c:v>
                </c:pt>
                <c:pt idx="1">
                  <c:v>23.8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26573.5</c:v>
                </c:pt>
                <c:pt idx="1">
                  <c:v>4950.8</c:v>
                </c:pt>
                <c:pt idx="2">
                  <c:v>8611</c:v>
                </c:pt>
                <c:pt idx="3">
                  <c:v>3802.8</c:v>
                </c:pt>
                <c:pt idx="4">
                  <c:v>1834</c:v>
                </c:pt>
                <c:pt idx="5">
                  <c:v>381.3</c:v>
                </c:pt>
                <c:pt idx="6">
                  <c:v>154.80000000000001</c:v>
                </c:pt>
                <c:pt idx="7">
                  <c:v>418.8</c:v>
                </c:pt>
                <c:pt idx="8">
                  <c:v>2014.8</c:v>
                </c:pt>
                <c:pt idx="9">
                  <c:v>2603.5</c:v>
                </c:pt>
                <c:pt idx="10">
                  <c:v>2054.9</c:v>
                </c:pt>
                <c:pt idx="11">
                  <c:v>1420.1</c:v>
                </c:pt>
                <c:pt idx="12">
                  <c:v>2429.3000000000002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29.4</c:v>
                </c:pt>
                <c:pt idx="4">
                  <c:v>309.7</c:v>
                </c:pt>
                <c:pt idx="5">
                  <c:v>830.5</c:v>
                </c:pt>
                <c:pt idx="6">
                  <c:v>407.6</c:v>
                </c:pt>
                <c:pt idx="7">
                  <c:v>585.4</c:v>
                </c:pt>
                <c:pt idx="8">
                  <c:v>341.7</c:v>
                </c:pt>
                <c:pt idx="9">
                  <c:v>562.79999999999995</c:v>
                </c:pt>
                <c:pt idx="10">
                  <c:v>290</c:v>
                </c:pt>
                <c:pt idx="11">
                  <c:v>796.7</c:v>
                </c:pt>
                <c:pt idx="12">
                  <c:v>37.700000000000003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24211.5</c:v>
                </c:pt>
                <c:pt idx="1">
                  <c:v>37761.800000000003</c:v>
                </c:pt>
                <c:pt idx="2">
                  <c:v>21323</c:v>
                </c:pt>
                <c:pt idx="3">
                  <c:v>10110.1</c:v>
                </c:pt>
                <c:pt idx="4">
                  <c:v>15345.5</c:v>
                </c:pt>
                <c:pt idx="5">
                  <c:v>22884.7</c:v>
                </c:pt>
                <c:pt idx="6">
                  <c:v>13164.8</c:v>
                </c:pt>
                <c:pt idx="7">
                  <c:v>30624.400000000001</c:v>
                </c:pt>
                <c:pt idx="8">
                  <c:v>14982.5</c:v>
                </c:pt>
                <c:pt idx="9">
                  <c:v>23494.9</c:v>
                </c:pt>
                <c:pt idx="10">
                  <c:v>9517.7000000000007</c:v>
                </c:pt>
                <c:pt idx="11">
                  <c:v>48799.7</c:v>
                </c:pt>
                <c:pt idx="12">
                  <c:v>5011.6000000000004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221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404.7</c:v>
                </c:pt>
                <c:pt idx="5">
                  <c:v>0</c:v>
                </c:pt>
                <c:pt idx="6">
                  <c:v>150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18786.400000000001</c:v>
                </c:pt>
                <c:pt idx="1">
                  <c:v>15892.4</c:v>
                </c:pt>
                <c:pt idx="2">
                  <c:v>12131.8</c:v>
                </c:pt>
                <c:pt idx="3">
                  <c:v>15019.5</c:v>
                </c:pt>
                <c:pt idx="4">
                  <c:v>3667.5</c:v>
                </c:pt>
                <c:pt idx="5">
                  <c:v>5850</c:v>
                </c:pt>
                <c:pt idx="6">
                  <c:v>4538.1000000000004</c:v>
                </c:pt>
                <c:pt idx="7">
                  <c:v>11791</c:v>
                </c:pt>
                <c:pt idx="8">
                  <c:v>6233.4</c:v>
                </c:pt>
                <c:pt idx="9">
                  <c:v>15319.9</c:v>
                </c:pt>
                <c:pt idx="10">
                  <c:v>10705.2</c:v>
                </c:pt>
                <c:pt idx="11">
                  <c:v>22768.5</c:v>
                </c:pt>
                <c:pt idx="12">
                  <c:v>3301.6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30440"/>
        <c:axId val="410930832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2'!$D$102:$P$102</c:f>
              <c:numCache>
                <c:formatCode>#,##0.0</c:formatCode>
                <c:ptCount val="13"/>
                <c:pt idx="0">
                  <c:v>37.351519399324047</c:v>
                </c:pt>
                <c:pt idx="1">
                  <c:v>37.474939988361378</c:v>
                </c:pt>
                <c:pt idx="2">
                  <c:v>35.812212577463129</c:v>
                </c:pt>
                <c:pt idx="3">
                  <c:v>35.241335926324219</c:v>
                </c:pt>
                <c:pt idx="4">
                  <c:v>45.437845423034418</c:v>
                </c:pt>
                <c:pt idx="5">
                  <c:v>45.583879125504332</c:v>
                </c:pt>
                <c:pt idx="6">
                  <c:v>46.119075471619603</c:v>
                </c:pt>
                <c:pt idx="7">
                  <c:v>50.606002190721647</c:v>
                </c:pt>
                <c:pt idx="8">
                  <c:v>58.413288431731708</c:v>
                </c:pt>
                <c:pt idx="9">
                  <c:v>64.995111945697232</c:v>
                </c:pt>
                <c:pt idx="10">
                  <c:v>67.596904775742829</c:v>
                </c:pt>
                <c:pt idx="11">
                  <c:v>84.925632340342403</c:v>
                </c:pt>
                <c:pt idx="12">
                  <c:v>75.523737362640816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31616"/>
        <c:axId val="410931224"/>
      </c:lineChart>
      <c:catAx>
        <c:axId val="41093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30832"/>
        <c:crosses val="autoZero"/>
        <c:auto val="1"/>
        <c:lblAlgn val="ctr"/>
        <c:lblOffset val="100"/>
        <c:noMultiLvlLbl val="0"/>
      </c:catAx>
      <c:valAx>
        <c:axId val="410930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30440"/>
        <c:crosses val="autoZero"/>
        <c:crossBetween val="between"/>
        <c:dispUnits>
          <c:builtInUnit val="thousands"/>
        </c:dispUnits>
      </c:valAx>
      <c:valAx>
        <c:axId val="410931224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31616"/>
        <c:crosses val="max"/>
        <c:crossBetween val="between"/>
        <c:majorUnit val="10"/>
      </c:valAx>
      <c:catAx>
        <c:axId val="41093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931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2'!$B$130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316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2132.8000000000002</c:v>
                </c:pt>
                <c:pt idx="5">
                  <c:v>3265.4</c:v>
                </c:pt>
                <c:pt idx="6">
                  <c:v>8244.2000000000007</c:v>
                </c:pt>
                <c:pt idx="7">
                  <c:v>208.4</c:v>
                </c:pt>
                <c:pt idx="8">
                  <c:v>3100.2</c:v>
                </c:pt>
                <c:pt idx="9">
                  <c:v>0</c:v>
                </c:pt>
                <c:pt idx="10">
                  <c:v>0</c:v>
                </c:pt>
                <c:pt idx="11">
                  <c:v>376.2</c:v>
                </c:pt>
                <c:pt idx="12">
                  <c:v>14289.6</c:v>
                </c:pt>
              </c:numCache>
            </c:numRef>
          </c:val>
        </c:ser>
        <c:ser>
          <c:idx val="4"/>
          <c:order val="1"/>
          <c:tx>
            <c:strRef>
              <c:f>'Data 2'!$B$131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653.70000000000005</c:v>
                </c:pt>
                <c:pt idx="1">
                  <c:v>0</c:v>
                </c:pt>
                <c:pt idx="2">
                  <c:v>40</c:v>
                </c:pt>
                <c:pt idx="3">
                  <c:v>570.5</c:v>
                </c:pt>
                <c:pt idx="4">
                  <c:v>1653.1</c:v>
                </c:pt>
                <c:pt idx="5">
                  <c:v>16.7</c:v>
                </c:pt>
                <c:pt idx="6">
                  <c:v>904.8</c:v>
                </c:pt>
                <c:pt idx="7">
                  <c:v>783.8</c:v>
                </c:pt>
                <c:pt idx="8">
                  <c:v>1575.6</c:v>
                </c:pt>
                <c:pt idx="9">
                  <c:v>1898.2</c:v>
                </c:pt>
                <c:pt idx="10">
                  <c:v>331</c:v>
                </c:pt>
                <c:pt idx="11">
                  <c:v>910.9</c:v>
                </c:pt>
                <c:pt idx="12">
                  <c:v>859.1</c:v>
                </c:pt>
              </c:numCache>
            </c:numRef>
          </c:val>
        </c:ser>
        <c:ser>
          <c:idx val="5"/>
          <c:order val="2"/>
          <c:tx>
            <c:strRef>
              <c:f>'Data 2'!$B$132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16113.4</c:v>
                </c:pt>
                <c:pt idx="1">
                  <c:v>1422.6</c:v>
                </c:pt>
                <c:pt idx="2">
                  <c:v>929.7</c:v>
                </c:pt>
                <c:pt idx="3">
                  <c:v>1413.2</c:v>
                </c:pt>
                <c:pt idx="4">
                  <c:v>89.7</c:v>
                </c:pt>
                <c:pt idx="5">
                  <c:v>18.399999999999999</c:v>
                </c:pt>
                <c:pt idx="6">
                  <c:v>2.7</c:v>
                </c:pt>
                <c:pt idx="7">
                  <c:v>39.5</c:v>
                </c:pt>
                <c:pt idx="8">
                  <c:v>0</c:v>
                </c:pt>
                <c:pt idx="9">
                  <c:v>24.2</c:v>
                </c:pt>
                <c:pt idx="10">
                  <c:v>0</c:v>
                </c:pt>
                <c:pt idx="11">
                  <c:v>0</c:v>
                </c:pt>
                <c:pt idx="12">
                  <c:v>4696.2</c:v>
                </c:pt>
              </c:numCache>
            </c:numRef>
          </c:val>
        </c:ser>
        <c:ser>
          <c:idx val="6"/>
          <c:order val="3"/>
          <c:tx>
            <c:strRef>
              <c:f>'Data 2'!$B$133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17916.599999999999</c:v>
                </c:pt>
                <c:pt idx="1">
                  <c:v>46116.4</c:v>
                </c:pt>
                <c:pt idx="2">
                  <c:v>39454.400000000001</c:v>
                </c:pt>
                <c:pt idx="3">
                  <c:v>39702.400000000001</c:v>
                </c:pt>
                <c:pt idx="4">
                  <c:v>22758.3</c:v>
                </c:pt>
                <c:pt idx="5">
                  <c:v>3709.8</c:v>
                </c:pt>
                <c:pt idx="6">
                  <c:v>6336.3</c:v>
                </c:pt>
                <c:pt idx="7">
                  <c:v>20030</c:v>
                </c:pt>
                <c:pt idx="8">
                  <c:v>51191.5</c:v>
                </c:pt>
                <c:pt idx="9">
                  <c:v>49736.3</c:v>
                </c:pt>
                <c:pt idx="10">
                  <c:v>101506.1</c:v>
                </c:pt>
                <c:pt idx="11">
                  <c:v>52921.9</c:v>
                </c:pt>
                <c:pt idx="12">
                  <c:v>28184.1</c:v>
                </c:pt>
              </c:numCache>
            </c:numRef>
          </c:val>
        </c:ser>
        <c:ser>
          <c:idx val="7"/>
          <c:order val="4"/>
          <c:tx>
            <c:strRef>
              <c:f>'Data 2'!$B$134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0</c:v>
                </c:pt>
                <c:pt idx="1">
                  <c:v>244.8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213.5</c:v>
                </c:pt>
                <c:pt idx="8">
                  <c:v>0</c:v>
                </c:pt>
                <c:pt idx="9">
                  <c:v>0</c:v>
                </c:pt>
                <c:pt idx="10">
                  <c:v>204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5"/>
          <c:tx>
            <c:strRef>
              <c:f>'Data 2'!$B$137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3600.4</c:v>
                </c:pt>
                <c:pt idx="1">
                  <c:v>3856.5</c:v>
                </c:pt>
                <c:pt idx="2">
                  <c:v>1791.1</c:v>
                </c:pt>
                <c:pt idx="3">
                  <c:v>426.9</c:v>
                </c:pt>
                <c:pt idx="4">
                  <c:v>206.1</c:v>
                </c:pt>
                <c:pt idx="5">
                  <c:v>1.6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106.7</c:v>
                </c:pt>
                <c:pt idx="11">
                  <c:v>0</c:v>
                </c:pt>
                <c:pt idx="12">
                  <c:v>7974.2</c:v>
                </c:pt>
              </c:numCache>
            </c:numRef>
          </c:val>
        </c:ser>
        <c:ser>
          <c:idx val="9"/>
          <c:order val="6"/>
          <c:tx>
            <c:strRef>
              <c:f>'Data 2'!$B$136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105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2"/>
          <c:order val="8"/>
          <c:tx>
            <c:strRef>
              <c:f>'Data 2'!$B$139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1103.3</c:v>
                </c:pt>
                <c:pt idx="1">
                  <c:v>241.6</c:v>
                </c:pt>
                <c:pt idx="2">
                  <c:v>112.3</c:v>
                </c:pt>
                <c:pt idx="3">
                  <c:v>87.1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224.9</c:v>
                </c:pt>
              </c:numCache>
            </c:numRef>
          </c:val>
        </c:ser>
        <c:ser>
          <c:idx val="13"/>
          <c:order val="9"/>
          <c:tx>
            <c:strRef>
              <c:f>'Data 2'!$B$140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2'!$C$140:$O$140</c:f>
              <c:numCache>
                <c:formatCode>#,##0.0</c:formatCode>
                <c:ptCount val="13"/>
                <c:pt idx="0">
                  <c:v>406.9</c:v>
                </c:pt>
                <c:pt idx="1">
                  <c:v>261</c:v>
                </c:pt>
                <c:pt idx="2">
                  <c:v>141</c:v>
                </c:pt>
                <c:pt idx="3">
                  <c:v>9.1</c:v>
                </c:pt>
                <c:pt idx="4">
                  <c:v>8.1999999999999993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0"/>
          <c:tx>
            <c:strRef>
              <c:f>'Data 2'!$B$141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2'!$C$141:$O$141</c:f>
              <c:numCache>
                <c:formatCode>#,##0.0</c:formatCode>
                <c:ptCount val="13"/>
                <c:pt idx="0">
                  <c:v>852.5</c:v>
                </c:pt>
                <c:pt idx="1">
                  <c:v>1246</c:v>
                </c:pt>
                <c:pt idx="2">
                  <c:v>584.1</c:v>
                </c:pt>
                <c:pt idx="3">
                  <c:v>19.100000000000001</c:v>
                </c:pt>
                <c:pt idx="4">
                  <c:v>112.5</c:v>
                </c:pt>
                <c:pt idx="5">
                  <c:v>0</c:v>
                </c:pt>
                <c:pt idx="6">
                  <c:v>0</c:v>
                </c:pt>
                <c:pt idx="7">
                  <c:v>34.200000000000003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11"/>
          <c:tx>
            <c:strRef>
              <c:f>'Data 2'!$B$135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36462.400000000001</c:v>
                </c:pt>
                <c:pt idx="1">
                  <c:v>7321.7</c:v>
                </c:pt>
                <c:pt idx="2">
                  <c:v>2184.1999999999998</c:v>
                </c:pt>
                <c:pt idx="3">
                  <c:v>4712.8999999999996</c:v>
                </c:pt>
                <c:pt idx="4">
                  <c:v>1839.6</c:v>
                </c:pt>
                <c:pt idx="5">
                  <c:v>10611</c:v>
                </c:pt>
                <c:pt idx="6">
                  <c:v>978.8</c:v>
                </c:pt>
                <c:pt idx="7">
                  <c:v>1049.8</c:v>
                </c:pt>
                <c:pt idx="8">
                  <c:v>12.5</c:v>
                </c:pt>
                <c:pt idx="9">
                  <c:v>105.1</c:v>
                </c:pt>
                <c:pt idx="10">
                  <c:v>0</c:v>
                </c:pt>
                <c:pt idx="11">
                  <c:v>42.8</c:v>
                </c:pt>
                <c:pt idx="12">
                  <c:v>39780.1</c:v>
                </c:pt>
              </c:numCache>
            </c:numRef>
          </c:val>
        </c:ser>
        <c:ser>
          <c:idx val="11"/>
          <c:order val="12"/>
          <c:tx>
            <c:strRef>
              <c:f>'Data 2'!$B$138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1564.5</c:v>
                </c:pt>
                <c:pt idx="1">
                  <c:v>133</c:v>
                </c:pt>
                <c:pt idx="2">
                  <c:v>107.5</c:v>
                </c:pt>
                <c:pt idx="3">
                  <c:v>339.1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28.6</c:v>
                </c:pt>
              </c:numCache>
            </c:numRef>
          </c:val>
        </c:ser>
        <c:ser>
          <c:idx val="16"/>
          <c:order val="13"/>
          <c:tx>
            <c:v>Nuclear</c:v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5"/>
          <c:order val="14"/>
          <c:tx>
            <c:strRef>
              <c:f>'Data 2'!$B$142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2'!$C$142:$O$142</c:f>
              <c:numCache>
                <c:formatCode>#,##0.0</c:formatCode>
                <c:ptCount val="13"/>
                <c:pt idx="0">
                  <c:v>2512.8000000000002</c:v>
                </c:pt>
                <c:pt idx="1">
                  <c:v>2583.9</c:v>
                </c:pt>
                <c:pt idx="2">
                  <c:v>4128.8</c:v>
                </c:pt>
                <c:pt idx="3">
                  <c:v>1985.9</c:v>
                </c:pt>
                <c:pt idx="4">
                  <c:v>1136.7</c:v>
                </c:pt>
                <c:pt idx="5">
                  <c:v>36.6</c:v>
                </c:pt>
                <c:pt idx="6">
                  <c:v>211.7</c:v>
                </c:pt>
                <c:pt idx="7">
                  <c:v>399.9</c:v>
                </c:pt>
                <c:pt idx="8">
                  <c:v>347.6</c:v>
                </c:pt>
                <c:pt idx="9">
                  <c:v>619.4</c:v>
                </c:pt>
                <c:pt idx="10">
                  <c:v>462.2</c:v>
                </c:pt>
                <c:pt idx="11">
                  <c:v>1542.2</c:v>
                </c:pt>
                <c:pt idx="12">
                  <c:v>110.8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449080"/>
        <c:axId val="411449472"/>
      </c:barChart>
      <c:lineChart>
        <c:grouping val="standard"/>
        <c:varyColors val="0"/>
        <c:ser>
          <c:idx val="1"/>
          <c:order val="1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2'!$C$146:$O$146</c:f>
              <c:numCache>
                <c:formatCode>#,##0.0</c:formatCode>
                <c:ptCount val="13"/>
                <c:pt idx="0">
                  <c:v>7.4697515546977913</c:v>
                </c:pt>
                <c:pt idx="1">
                  <c:v>13.818519942959069</c:v>
                </c:pt>
                <c:pt idx="2">
                  <c:v>13.888661312915501</c:v>
                </c:pt>
                <c:pt idx="3">
                  <c:v>14.3992637954622</c:v>
                </c:pt>
                <c:pt idx="4">
                  <c:v>25.761619400741559</c:v>
                </c:pt>
                <c:pt idx="5">
                  <c:v>8.3765287805430511</c:v>
                </c:pt>
                <c:pt idx="6">
                  <c:v>14.89423572688937</c:v>
                </c:pt>
                <c:pt idx="7">
                  <c:v>28.596647239372651</c:v>
                </c:pt>
                <c:pt idx="8">
                  <c:v>33.966924844470853</c:v>
                </c:pt>
                <c:pt idx="9">
                  <c:v>38.350846548422872</c:v>
                </c:pt>
                <c:pt idx="10">
                  <c:v>37.917982149483429</c:v>
                </c:pt>
                <c:pt idx="11">
                  <c:v>45.53225866580636</c:v>
                </c:pt>
                <c:pt idx="12">
                  <c:v>12.538535023235109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50256"/>
        <c:axId val="411449864"/>
      </c:lineChart>
      <c:catAx>
        <c:axId val="41144908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411449472"/>
        <c:crosses val="autoZero"/>
        <c:auto val="1"/>
        <c:lblAlgn val="ctr"/>
        <c:lblOffset val="100"/>
        <c:noMultiLvlLbl val="0"/>
      </c:catAx>
      <c:valAx>
        <c:axId val="411449472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49080"/>
        <c:crosses val="autoZero"/>
        <c:crossBetween val="between"/>
        <c:majorUnit val="20000"/>
        <c:dispUnits>
          <c:builtInUnit val="thousands"/>
        </c:dispUnits>
      </c:valAx>
      <c:valAx>
        <c:axId val="411449864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0256"/>
        <c:crosses val="max"/>
        <c:crossBetween val="between"/>
        <c:majorUnit val="30"/>
      </c:valAx>
      <c:catAx>
        <c:axId val="4114502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11449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0669030373600559"/>
          <c:w val="0.9306026457829466"/>
          <c:h val="0.1933096962639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2'!$C$116:$O$116</c:f>
              <c:numCache>
                <c:formatCode>#,##0.0</c:formatCode>
                <c:ptCount val="13"/>
                <c:pt idx="0">
                  <c:v>0</c:v>
                </c:pt>
                <c:pt idx="1">
                  <c:v>1586.3</c:v>
                </c:pt>
                <c:pt idx="2">
                  <c:v>576.5</c:v>
                </c:pt>
                <c:pt idx="3">
                  <c:v>3569.6</c:v>
                </c:pt>
                <c:pt idx="4">
                  <c:v>5205</c:v>
                </c:pt>
                <c:pt idx="5">
                  <c:v>210</c:v>
                </c:pt>
                <c:pt idx="6">
                  <c:v>2091.8000000000002</c:v>
                </c:pt>
                <c:pt idx="7">
                  <c:v>456.3</c:v>
                </c:pt>
                <c:pt idx="8">
                  <c:v>53.4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6150</c:v>
                </c:pt>
              </c:numCache>
            </c:numRef>
          </c:val>
        </c:ser>
        <c:ser>
          <c:idx val="4"/>
          <c:order val="1"/>
          <c:tx>
            <c:strRef>
              <c:f>'Data 2'!$B$117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2'!$C$117:$O$117</c:f>
              <c:numCache>
                <c:formatCode>#,##0.0</c:formatCode>
                <c:ptCount val="13"/>
                <c:pt idx="0">
                  <c:v>23619.7</c:v>
                </c:pt>
                <c:pt idx="1">
                  <c:v>26999.7</c:v>
                </c:pt>
                <c:pt idx="2">
                  <c:v>26003.599999999999</c:v>
                </c:pt>
                <c:pt idx="3">
                  <c:v>19753.8</c:v>
                </c:pt>
                <c:pt idx="4">
                  <c:v>22612.799999999999</c:v>
                </c:pt>
                <c:pt idx="5">
                  <c:v>7404.2</c:v>
                </c:pt>
                <c:pt idx="6">
                  <c:v>20206</c:v>
                </c:pt>
                <c:pt idx="7">
                  <c:v>18024.599999999999</c:v>
                </c:pt>
                <c:pt idx="8">
                  <c:v>23642.3</c:v>
                </c:pt>
                <c:pt idx="9">
                  <c:v>27130.5</c:v>
                </c:pt>
                <c:pt idx="10">
                  <c:v>9410.5</c:v>
                </c:pt>
                <c:pt idx="11">
                  <c:v>25945.3</c:v>
                </c:pt>
                <c:pt idx="12">
                  <c:v>9508.4</c:v>
                </c:pt>
              </c:numCache>
            </c:numRef>
          </c:val>
        </c:ser>
        <c:ser>
          <c:idx val="5"/>
          <c:order val="2"/>
          <c:tx>
            <c:strRef>
              <c:f>'Data 2'!$B$118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24.9</c:v>
                </c:pt>
                <c:pt idx="1">
                  <c:v>0</c:v>
                </c:pt>
                <c:pt idx="2">
                  <c:v>0</c:v>
                </c:pt>
                <c:pt idx="3">
                  <c:v>10.4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2'!$B$119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8015.5</c:v>
                </c:pt>
                <c:pt idx="1">
                  <c:v>3618.7</c:v>
                </c:pt>
                <c:pt idx="2">
                  <c:v>9984.7000000000007</c:v>
                </c:pt>
                <c:pt idx="3">
                  <c:v>3695</c:v>
                </c:pt>
                <c:pt idx="4">
                  <c:v>5244.3</c:v>
                </c:pt>
                <c:pt idx="5">
                  <c:v>326.10000000000002</c:v>
                </c:pt>
                <c:pt idx="6">
                  <c:v>273.8</c:v>
                </c:pt>
                <c:pt idx="7">
                  <c:v>521.1</c:v>
                </c:pt>
                <c:pt idx="8">
                  <c:v>1821.5</c:v>
                </c:pt>
                <c:pt idx="9">
                  <c:v>1183.5</c:v>
                </c:pt>
                <c:pt idx="10">
                  <c:v>701.1</c:v>
                </c:pt>
                <c:pt idx="11">
                  <c:v>3031.3</c:v>
                </c:pt>
                <c:pt idx="12">
                  <c:v>1469.4</c:v>
                </c:pt>
              </c:numCache>
            </c:numRef>
          </c:val>
        </c:ser>
        <c:ser>
          <c:idx val="7"/>
          <c:order val="4"/>
          <c:tx>
            <c:strRef>
              <c:f>'Data 2'!$B$120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155</c:v>
                </c:pt>
                <c:pt idx="1">
                  <c:v>83.2</c:v>
                </c:pt>
                <c:pt idx="2">
                  <c:v>0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279.8</c:v>
                </c:pt>
                <c:pt idx="8">
                  <c:v>200.8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2'!$B$121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474.7</c:v>
                </c:pt>
                <c:pt idx="1">
                  <c:v>1329.1</c:v>
                </c:pt>
                <c:pt idx="2">
                  <c:v>0</c:v>
                </c:pt>
                <c:pt idx="3">
                  <c:v>1500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823.7</c:v>
                </c:pt>
                <c:pt idx="1">
                  <c:v>426.3</c:v>
                </c:pt>
                <c:pt idx="2">
                  <c:v>727.3</c:v>
                </c:pt>
                <c:pt idx="3">
                  <c:v>196.5</c:v>
                </c:pt>
                <c:pt idx="4">
                  <c:v>1878.6</c:v>
                </c:pt>
                <c:pt idx="5">
                  <c:v>195.5</c:v>
                </c:pt>
                <c:pt idx="6">
                  <c:v>0</c:v>
                </c:pt>
                <c:pt idx="7">
                  <c:v>0</c:v>
                </c:pt>
                <c:pt idx="8">
                  <c:v>661</c:v>
                </c:pt>
                <c:pt idx="9">
                  <c:v>312.10000000000002</c:v>
                </c:pt>
                <c:pt idx="10">
                  <c:v>2449.9</c:v>
                </c:pt>
                <c:pt idx="11">
                  <c:v>733.3</c:v>
                </c:pt>
                <c:pt idx="12">
                  <c:v>198</c:v>
                </c:pt>
              </c:numCache>
            </c:numRef>
          </c:val>
        </c:ser>
        <c:ser>
          <c:idx val="1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11465.7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2463.6</c:v>
                </c:pt>
              </c:numCache>
            </c:numRef>
          </c:val>
        </c:ser>
        <c:ser>
          <c:idx val="11"/>
          <c:order val="8"/>
          <c:tx>
            <c:strRef>
              <c:f>'Data 2'!$B$124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0</c:v>
                </c:pt>
                <c:pt idx="1">
                  <c:v>952.9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'Data 2'!$B$126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'Data 2'!$B$127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5"/>
          <c:order val="12"/>
          <c:tx>
            <c:strRef>
              <c:f>'Data 2'!$B$128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2'!$C$128:$O$128</c:f>
              <c:numCache>
                <c:formatCode>#,##0.0</c:formatCode>
                <c:ptCount val="13"/>
                <c:pt idx="0">
                  <c:v>5655.5</c:v>
                </c:pt>
                <c:pt idx="1">
                  <c:v>4767</c:v>
                </c:pt>
                <c:pt idx="2">
                  <c:v>10463.6</c:v>
                </c:pt>
                <c:pt idx="3">
                  <c:v>8519.5</c:v>
                </c:pt>
                <c:pt idx="4">
                  <c:v>7187.7</c:v>
                </c:pt>
                <c:pt idx="5">
                  <c:v>525.79999999999995</c:v>
                </c:pt>
                <c:pt idx="6">
                  <c:v>2688.1</c:v>
                </c:pt>
                <c:pt idx="7">
                  <c:v>1707.9</c:v>
                </c:pt>
                <c:pt idx="8">
                  <c:v>4580.3999999999996</c:v>
                </c:pt>
                <c:pt idx="9">
                  <c:v>6456</c:v>
                </c:pt>
                <c:pt idx="10">
                  <c:v>12070.5</c:v>
                </c:pt>
                <c:pt idx="11">
                  <c:v>4804</c:v>
                </c:pt>
                <c:pt idx="12">
                  <c:v>2519.6999999999998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451040"/>
        <c:axId val="411451432"/>
      </c:barChart>
      <c:lineChart>
        <c:grouping val="standard"/>
        <c:varyColors val="0"/>
        <c:ser>
          <c:idx val="2"/>
          <c:order val="13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2'!$C$115:$O$115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2'!$C$145:$O$145</c:f>
              <c:numCache>
                <c:formatCode>#,##0.0</c:formatCode>
                <c:ptCount val="13"/>
                <c:pt idx="0">
                  <c:v>87.556728906614183</c:v>
                </c:pt>
                <c:pt idx="1">
                  <c:v>99.744870211693552</c:v>
                </c:pt>
                <c:pt idx="2">
                  <c:v>92.796868855445524</c:v>
                </c:pt>
                <c:pt idx="3">
                  <c:v>85.641688235673172</c:v>
                </c:pt>
                <c:pt idx="4">
                  <c:v>72.567504581232612</c:v>
                </c:pt>
                <c:pt idx="5">
                  <c:v>57.729230165327422</c:v>
                </c:pt>
                <c:pt idx="6">
                  <c:v>79.770314770167502</c:v>
                </c:pt>
                <c:pt idx="7">
                  <c:v>121.309709366052</c:v>
                </c:pt>
                <c:pt idx="8">
                  <c:v>134.83571758442409</c:v>
                </c:pt>
                <c:pt idx="9">
                  <c:v>127.14120420385321</c:v>
                </c:pt>
                <c:pt idx="10">
                  <c:v>113.3135632510555</c:v>
                </c:pt>
                <c:pt idx="11">
                  <c:v>162.9664201959211</c:v>
                </c:pt>
                <c:pt idx="12">
                  <c:v>103.35827039190281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52216"/>
        <c:axId val="411451824"/>
      </c:lineChart>
      <c:catAx>
        <c:axId val="4114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1432"/>
        <c:crosses val="autoZero"/>
        <c:auto val="1"/>
        <c:lblAlgn val="ctr"/>
        <c:lblOffset val="100"/>
        <c:noMultiLvlLbl val="0"/>
      </c:catAx>
      <c:valAx>
        <c:axId val="411451432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1040"/>
        <c:crosses val="autoZero"/>
        <c:crossBetween val="between"/>
        <c:majorUnit val="20000"/>
        <c:dispUnits>
          <c:builtInUnit val="thousands"/>
        </c:dispUnits>
      </c:valAx>
      <c:valAx>
        <c:axId val="411451824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2216"/>
        <c:crosses val="max"/>
        <c:crossBetween val="between"/>
        <c:majorUnit val="30"/>
      </c:valAx>
      <c:catAx>
        <c:axId val="41145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1451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2'!$C$162:$O$162</c:f>
              <c:numCache>
                <c:formatCode>#,##0.0</c:formatCode>
                <c:ptCount val="13"/>
                <c:pt idx="0">
                  <c:v>105334.2</c:v>
                </c:pt>
                <c:pt idx="1">
                  <c:v>63887.5</c:v>
                </c:pt>
                <c:pt idx="2">
                  <c:v>26224.400000000001</c:v>
                </c:pt>
                <c:pt idx="3">
                  <c:v>115140.8</c:v>
                </c:pt>
                <c:pt idx="4">
                  <c:v>1863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34726.1</c:v>
                </c:pt>
                <c:pt idx="9">
                  <c:v>23135.1</c:v>
                </c:pt>
                <c:pt idx="10">
                  <c:v>5215.5</c:v>
                </c:pt>
                <c:pt idx="11">
                  <c:v>5325.4</c:v>
                </c:pt>
                <c:pt idx="12">
                  <c:v>1383.6</c:v>
                </c:pt>
              </c:numCache>
            </c:numRef>
          </c:val>
        </c:ser>
        <c:ser>
          <c:idx val="5"/>
          <c:order val="2"/>
          <c:tx>
            <c:strRef>
              <c:f>'Data 2'!$B$163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2'!$C$163:$O$163</c:f>
              <c:numCache>
                <c:formatCode>#,##0.0</c:formatCode>
                <c:ptCount val="13"/>
                <c:pt idx="0">
                  <c:v>126600.8</c:v>
                </c:pt>
                <c:pt idx="1">
                  <c:v>236337.4</c:v>
                </c:pt>
                <c:pt idx="2">
                  <c:v>216603.9</c:v>
                </c:pt>
                <c:pt idx="3">
                  <c:v>176958.3</c:v>
                </c:pt>
                <c:pt idx="4">
                  <c:v>1250.7</c:v>
                </c:pt>
                <c:pt idx="5">
                  <c:v>0</c:v>
                </c:pt>
                <c:pt idx="6">
                  <c:v>0</c:v>
                </c:pt>
                <c:pt idx="7">
                  <c:v>19356.8</c:v>
                </c:pt>
                <c:pt idx="8">
                  <c:v>332294.3</c:v>
                </c:pt>
                <c:pt idx="9">
                  <c:v>196729.3</c:v>
                </c:pt>
                <c:pt idx="10">
                  <c:v>112859.3</c:v>
                </c:pt>
                <c:pt idx="11">
                  <c:v>179227.5</c:v>
                </c:pt>
                <c:pt idx="12">
                  <c:v>10714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1453000"/>
        <c:axId val="41145339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2'!$B$161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2'!$C$161:$O$161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2'!$B$164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2'!$C$164:$O$164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2'!$B$165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F</c:v>
                      </c:pt>
                      <c:pt idx="1">
                        <c:v>M</c:v>
                      </c:pt>
                      <c:pt idx="2">
                        <c:v>A</c:v>
                      </c:pt>
                      <c:pt idx="3">
                        <c:v>M</c:v>
                      </c:pt>
                      <c:pt idx="4">
                        <c:v>J</c:v>
                      </c:pt>
                      <c:pt idx="5">
                        <c:v>J</c:v>
                      </c:pt>
                      <c:pt idx="6">
                        <c:v>A</c:v>
                      </c:pt>
                      <c:pt idx="7">
                        <c:v>S</c:v>
                      </c:pt>
                      <c:pt idx="8">
                        <c:v>O</c:v>
                      </c:pt>
                      <c:pt idx="9">
                        <c:v>N</c:v>
                      </c:pt>
                      <c:pt idx="10">
                        <c:v>D</c:v>
                      </c:pt>
                      <c:pt idx="11">
                        <c:v>E</c:v>
                      </c:pt>
                      <c:pt idx="12">
                        <c:v>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2'!$C$165:$O$165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2'!$C$177:$O$177</c:f>
              <c:numCache>
                <c:formatCode>#,##0.0</c:formatCode>
                <c:ptCount val="13"/>
                <c:pt idx="0">
                  <c:v>23.176032897147909</c:v>
                </c:pt>
                <c:pt idx="1">
                  <c:v>27.33270774675918</c:v>
                </c:pt>
                <c:pt idx="2">
                  <c:v>24.68469078768825</c:v>
                </c:pt>
                <c:pt idx="3">
                  <c:v>21.121754466206841</c:v>
                </c:pt>
                <c:pt idx="4">
                  <c:v>15.350004817419791</c:v>
                </c:pt>
                <c:pt idx="5">
                  <c:v>0</c:v>
                </c:pt>
                <c:pt idx="6">
                  <c:v>0</c:v>
                </c:pt>
                <c:pt idx="7">
                  <c:v>24.21656885435609</c:v>
                </c:pt>
                <c:pt idx="8">
                  <c:v>14.40842994013412</c:v>
                </c:pt>
                <c:pt idx="9">
                  <c:v>14.486918722548889</c:v>
                </c:pt>
                <c:pt idx="10">
                  <c:v>14.401166379278219</c:v>
                </c:pt>
                <c:pt idx="11">
                  <c:v>35.270028485057672</c:v>
                </c:pt>
                <c:pt idx="12">
                  <c:v>27.78792653088216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54176"/>
        <c:axId val="411453784"/>
      </c:lineChart>
      <c:catAx>
        <c:axId val="41145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3392"/>
        <c:crosses val="autoZero"/>
        <c:auto val="1"/>
        <c:lblAlgn val="ctr"/>
        <c:lblOffset val="100"/>
        <c:noMultiLvlLbl val="0"/>
      </c:catAx>
      <c:valAx>
        <c:axId val="4114533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3000"/>
        <c:crosses val="autoZero"/>
        <c:crossBetween val="between"/>
        <c:dispUnits>
          <c:builtInUnit val="thousands"/>
        </c:dispUnits>
      </c:valAx>
      <c:valAx>
        <c:axId val="41145378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54176"/>
        <c:crosses val="max"/>
        <c:crossBetween val="between"/>
      </c:valAx>
      <c:catAx>
        <c:axId val="41145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1453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508120108901129E-2"/>
          <c:y val="0.94186719838370736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29.142720306513411</c:v>
                </c:pt>
                <c:pt idx="1">
                  <c:v>43.775235531628539</c:v>
                </c:pt>
                <c:pt idx="2">
                  <c:v>38.090277777777786</c:v>
                </c:pt>
                <c:pt idx="3">
                  <c:v>34.117383512544805</c:v>
                </c:pt>
                <c:pt idx="4">
                  <c:v>37.754629629629633</c:v>
                </c:pt>
                <c:pt idx="5">
                  <c:v>29.950716845878134</c:v>
                </c:pt>
                <c:pt idx="6">
                  <c:v>33.590949820788524</c:v>
                </c:pt>
                <c:pt idx="7">
                  <c:v>42.210648148148145</c:v>
                </c:pt>
                <c:pt idx="8">
                  <c:v>41.55465949820789</c:v>
                </c:pt>
                <c:pt idx="9">
                  <c:v>31.087962962962962</c:v>
                </c:pt>
                <c:pt idx="10">
                  <c:v>36.178315412186372</c:v>
                </c:pt>
                <c:pt idx="11">
                  <c:v>43.929211469534053</c:v>
                </c:pt>
                <c:pt idx="12">
                  <c:v>33.382936507936506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15.445402298850574</c:v>
                </c:pt>
                <c:pt idx="1">
                  <c:v>15.197397936294301</c:v>
                </c:pt>
                <c:pt idx="2">
                  <c:v>20.729166666666668</c:v>
                </c:pt>
                <c:pt idx="3">
                  <c:v>22.647849462365592</c:v>
                </c:pt>
                <c:pt idx="4">
                  <c:v>12.592592592592593</c:v>
                </c:pt>
                <c:pt idx="5">
                  <c:v>6.2275985663082425</c:v>
                </c:pt>
                <c:pt idx="6">
                  <c:v>5.5891577060931903</c:v>
                </c:pt>
                <c:pt idx="7">
                  <c:v>5.9027777777777777</c:v>
                </c:pt>
                <c:pt idx="8">
                  <c:v>7.5716845878136194</c:v>
                </c:pt>
                <c:pt idx="9">
                  <c:v>9.2592592592592613</c:v>
                </c:pt>
                <c:pt idx="10">
                  <c:v>9.408602150537634</c:v>
                </c:pt>
                <c:pt idx="11">
                  <c:v>7.3028673835125444</c:v>
                </c:pt>
                <c:pt idx="12">
                  <c:v>13.640873015873014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0.14367816091954022</c:v>
                </c:pt>
                <c:pt idx="1">
                  <c:v>0</c:v>
                </c:pt>
                <c:pt idx="2">
                  <c:v>0.27777777777777779</c:v>
                </c:pt>
                <c:pt idx="3">
                  <c:v>0.53763440860215062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0.29761904761904762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1.6522988505747123</c:v>
                </c:pt>
                <c:pt idx="1">
                  <c:v>1.4692687303723644</c:v>
                </c:pt>
                <c:pt idx="2">
                  <c:v>2.0254629629629628</c:v>
                </c:pt>
                <c:pt idx="3">
                  <c:v>1.2320788530465949</c:v>
                </c:pt>
                <c:pt idx="4">
                  <c:v>6.7592592592592595</c:v>
                </c:pt>
                <c:pt idx="5">
                  <c:v>15.636200716845877</c:v>
                </c:pt>
                <c:pt idx="6">
                  <c:v>12.26478494623656</c:v>
                </c:pt>
                <c:pt idx="7">
                  <c:v>8.3912037037037042</c:v>
                </c:pt>
                <c:pt idx="8">
                  <c:v>8.4677419354838701</c:v>
                </c:pt>
                <c:pt idx="9">
                  <c:v>13.495370370370372</c:v>
                </c:pt>
                <c:pt idx="10">
                  <c:v>12.522401433691757</c:v>
                </c:pt>
                <c:pt idx="11">
                  <c:v>12.253584229390679</c:v>
                </c:pt>
                <c:pt idx="12">
                  <c:v>6.820436507936507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17.456896551724139</c:v>
                </c:pt>
                <c:pt idx="1">
                  <c:v>12.090623598026019</c:v>
                </c:pt>
                <c:pt idx="2">
                  <c:v>7.7083333333333339</c:v>
                </c:pt>
                <c:pt idx="3">
                  <c:v>5.6451612903225801</c:v>
                </c:pt>
                <c:pt idx="4">
                  <c:v>17.314814814814817</c:v>
                </c:pt>
                <c:pt idx="5">
                  <c:v>26.478494623655912</c:v>
                </c:pt>
                <c:pt idx="6">
                  <c:v>24.596774193548391</c:v>
                </c:pt>
                <c:pt idx="7">
                  <c:v>23.541666666666671</c:v>
                </c:pt>
                <c:pt idx="8">
                  <c:v>22.468637992831539</c:v>
                </c:pt>
                <c:pt idx="9">
                  <c:v>27.361111111111114</c:v>
                </c:pt>
                <c:pt idx="10">
                  <c:v>24.193548387096776</c:v>
                </c:pt>
                <c:pt idx="11">
                  <c:v>16.50985663082437</c:v>
                </c:pt>
                <c:pt idx="12">
                  <c:v>23.883928571428573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36.159003831417621</c:v>
                </c:pt>
                <c:pt idx="1">
                  <c:v>27.467474203678773</c:v>
                </c:pt>
                <c:pt idx="2">
                  <c:v>31.168981481481477</c:v>
                </c:pt>
                <c:pt idx="3">
                  <c:v>35.81989247311828</c:v>
                </c:pt>
                <c:pt idx="4">
                  <c:v>25.578703703703699</c:v>
                </c:pt>
                <c:pt idx="5">
                  <c:v>21.706989247311832</c:v>
                </c:pt>
                <c:pt idx="6">
                  <c:v>23.958333333333336</c:v>
                </c:pt>
                <c:pt idx="7">
                  <c:v>19.953703703703702</c:v>
                </c:pt>
                <c:pt idx="8">
                  <c:v>19.937275985663085</c:v>
                </c:pt>
                <c:pt idx="9">
                  <c:v>18.796296296296294</c:v>
                </c:pt>
                <c:pt idx="10">
                  <c:v>17.697132616487458</c:v>
                </c:pt>
                <c:pt idx="11">
                  <c:v>20.004480286738353</c:v>
                </c:pt>
                <c:pt idx="12">
                  <c:v>21.974206349206348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952160"/>
        <c:axId val="408306728"/>
      </c:barChart>
      <c:catAx>
        <c:axId val="3499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06728"/>
        <c:crosses val="autoZero"/>
        <c:auto val="1"/>
        <c:lblAlgn val="ctr"/>
        <c:lblOffset val="100"/>
        <c:noMultiLvlLbl val="0"/>
      </c:catAx>
      <c:valAx>
        <c:axId val="408306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95216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28.77</c:v>
                </c:pt>
                <c:pt idx="1">
                  <c:v>28.65</c:v>
                </c:pt>
                <c:pt idx="2">
                  <c:v>24.86</c:v>
                </c:pt>
                <c:pt idx="3">
                  <c:v>26.74</c:v>
                </c:pt>
                <c:pt idx="4">
                  <c:v>39.299999999999997</c:v>
                </c:pt>
                <c:pt idx="5">
                  <c:v>41.06</c:v>
                </c:pt>
                <c:pt idx="6">
                  <c:v>41.620000000000005</c:v>
                </c:pt>
                <c:pt idx="7">
                  <c:v>44.17</c:v>
                </c:pt>
                <c:pt idx="8">
                  <c:v>53.78</c:v>
                </c:pt>
                <c:pt idx="9">
                  <c:v>57.41</c:v>
                </c:pt>
                <c:pt idx="10">
                  <c:v>61.87</c:v>
                </c:pt>
                <c:pt idx="11">
                  <c:v>73.59</c:v>
                </c:pt>
                <c:pt idx="12">
                  <c:v>53.05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4.2</c:v>
                </c:pt>
                <c:pt idx="1">
                  <c:v>4.54</c:v>
                </c:pt>
                <c:pt idx="2">
                  <c:v>4.07</c:v>
                </c:pt>
                <c:pt idx="3">
                  <c:v>4.37</c:v>
                </c:pt>
                <c:pt idx="4">
                  <c:v>2.5100000000000002</c:v>
                </c:pt>
                <c:pt idx="5">
                  <c:v>2.0299999999999998</c:v>
                </c:pt>
                <c:pt idx="6">
                  <c:v>2.4100000000000006</c:v>
                </c:pt>
                <c:pt idx="7">
                  <c:v>2.4600000000000004</c:v>
                </c:pt>
                <c:pt idx="8">
                  <c:v>3</c:v>
                </c:pt>
                <c:pt idx="9">
                  <c:v>1.92</c:v>
                </c:pt>
                <c:pt idx="10">
                  <c:v>2.04</c:v>
                </c:pt>
                <c:pt idx="11">
                  <c:v>2.9000000000000004</c:v>
                </c:pt>
                <c:pt idx="12">
                  <c:v>2.8400000000000003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3.22</c:v>
                </c:pt>
                <c:pt idx="1">
                  <c:v>2.63</c:v>
                </c:pt>
                <c:pt idx="2">
                  <c:v>2.48</c:v>
                </c:pt>
                <c:pt idx="3">
                  <c:v>2.4300000000000002</c:v>
                </c:pt>
                <c:pt idx="4">
                  <c:v>2.89</c:v>
                </c:pt>
                <c:pt idx="5">
                  <c:v>3.26</c:v>
                </c:pt>
                <c:pt idx="6">
                  <c:v>2.2000000000000002</c:v>
                </c:pt>
                <c:pt idx="7">
                  <c:v>2.52</c:v>
                </c:pt>
                <c:pt idx="8">
                  <c:v>2.37</c:v>
                </c:pt>
                <c:pt idx="9">
                  <c:v>2.59</c:v>
                </c:pt>
                <c:pt idx="10">
                  <c:v>3.22</c:v>
                </c:pt>
                <c:pt idx="11">
                  <c:v>3.31</c:v>
                </c:pt>
                <c:pt idx="12">
                  <c:v>3.26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1.93</c:v>
                </c:pt>
                <c:pt idx="1">
                  <c:v>1.87</c:v>
                </c:pt>
                <c:pt idx="2">
                  <c:v>2.02</c:v>
                </c:pt>
                <c:pt idx="3">
                  <c:v>2.0299999999999998</c:v>
                </c:pt>
                <c:pt idx="4">
                  <c:v>2</c:v>
                </c:pt>
                <c:pt idx="5">
                  <c:v>1.82</c:v>
                </c:pt>
                <c:pt idx="6">
                  <c:v>1.89</c:v>
                </c:pt>
                <c:pt idx="7">
                  <c:v>1.94</c:v>
                </c:pt>
                <c:pt idx="8">
                  <c:v>2.04</c:v>
                </c:pt>
                <c:pt idx="9">
                  <c:v>1.99</c:v>
                </c:pt>
                <c:pt idx="10">
                  <c:v>1.93</c:v>
                </c:pt>
                <c:pt idx="11">
                  <c:v>1.9</c:v>
                </c:pt>
                <c:pt idx="12">
                  <c:v>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8307512"/>
        <c:axId val="408307904"/>
      </c:barChart>
      <c:catAx>
        <c:axId val="40830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07904"/>
        <c:crosses val="autoZero"/>
        <c:auto val="1"/>
        <c:lblAlgn val="ctr"/>
        <c:lblOffset val="100"/>
        <c:noMultiLvlLbl val="0"/>
      </c:catAx>
      <c:valAx>
        <c:axId val="4083079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07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53.05</c:v>
                </c:pt>
                <c:pt idx="1">
                  <c:v>3.26</c:v>
                </c:pt>
                <c:pt idx="2">
                  <c:v>2.19</c:v>
                </c:pt>
                <c:pt idx="3">
                  <c:v>2.8400000000000003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2.65</c:v>
                </c:pt>
                <c:pt idx="1">
                  <c:v>2.88</c:v>
                </c:pt>
                <c:pt idx="2">
                  <c:v>2.59</c:v>
                </c:pt>
                <c:pt idx="3">
                  <c:v>2.99</c:v>
                </c:pt>
                <c:pt idx="4">
                  <c:v>1.84</c:v>
                </c:pt>
                <c:pt idx="5">
                  <c:v>1.55</c:v>
                </c:pt>
                <c:pt idx="6">
                  <c:v>1.85</c:v>
                </c:pt>
                <c:pt idx="7">
                  <c:v>1.91</c:v>
                </c:pt>
                <c:pt idx="8">
                  <c:v>2.04</c:v>
                </c:pt>
                <c:pt idx="9">
                  <c:v>0.89</c:v>
                </c:pt>
                <c:pt idx="10">
                  <c:v>1.1299999999999999</c:v>
                </c:pt>
                <c:pt idx="11">
                  <c:v>1.48</c:v>
                </c:pt>
                <c:pt idx="12">
                  <c:v>1.82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0.13</c:v>
                </c:pt>
                <c:pt idx="1">
                  <c:v>0.16</c:v>
                </c:pt>
                <c:pt idx="2">
                  <c:v>0.18</c:v>
                </c:pt>
                <c:pt idx="3">
                  <c:v>0.13</c:v>
                </c:pt>
                <c:pt idx="4">
                  <c:v>0.1</c:v>
                </c:pt>
                <c:pt idx="5">
                  <c:v>0.03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0.21</c:v>
                </c:pt>
                <c:pt idx="9">
                  <c:v>0.15</c:v>
                </c:pt>
                <c:pt idx="10">
                  <c:v>0.13</c:v>
                </c:pt>
                <c:pt idx="11">
                  <c:v>0.17</c:v>
                </c:pt>
                <c:pt idx="12">
                  <c:v>0.23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0.25</c:v>
                </c:pt>
                <c:pt idx="1">
                  <c:v>0.37</c:v>
                </c:pt>
                <c:pt idx="2">
                  <c:v>0.28999999999999998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0.25</c:v>
                </c:pt>
                <c:pt idx="9">
                  <c:v>0.15</c:v>
                </c:pt>
                <c:pt idx="10">
                  <c:v>0.08</c:v>
                </c:pt>
                <c:pt idx="11">
                  <c:v>0.27</c:v>
                </c:pt>
                <c:pt idx="12">
                  <c:v>0.02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1.1299999999999999</c:v>
                </c:pt>
                <c:pt idx="1">
                  <c:v>1.01</c:v>
                </c:pt>
                <c:pt idx="2">
                  <c:v>0.9</c:v>
                </c:pt>
                <c:pt idx="3">
                  <c:v>0.93</c:v>
                </c:pt>
                <c:pt idx="4">
                  <c:v>0.52</c:v>
                </c:pt>
                <c:pt idx="5">
                  <c:v>0.47</c:v>
                </c:pt>
                <c:pt idx="6">
                  <c:v>0.48</c:v>
                </c:pt>
                <c:pt idx="7">
                  <c:v>0.39</c:v>
                </c:pt>
                <c:pt idx="8">
                  <c:v>0.51</c:v>
                </c:pt>
                <c:pt idx="9">
                  <c:v>0.68</c:v>
                </c:pt>
                <c:pt idx="10">
                  <c:v>0.63</c:v>
                </c:pt>
                <c:pt idx="11">
                  <c:v>0.87</c:v>
                </c:pt>
                <c:pt idx="12">
                  <c:v>0.65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0.25</c:v>
                </c:pt>
                <c:pt idx="1">
                  <c:v>0.28000000000000003</c:v>
                </c:pt>
                <c:pt idx="2">
                  <c:v>0.25</c:v>
                </c:pt>
                <c:pt idx="3">
                  <c:v>0.15</c:v>
                </c:pt>
                <c:pt idx="4">
                  <c:v>0.17</c:v>
                </c:pt>
                <c:pt idx="5">
                  <c:v>0.11</c:v>
                </c:pt>
                <c:pt idx="6">
                  <c:v>0.15000000000000002</c:v>
                </c:pt>
                <c:pt idx="7">
                  <c:v>0.19</c:v>
                </c:pt>
                <c:pt idx="8">
                  <c:v>0.13</c:v>
                </c:pt>
                <c:pt idx="9">
                  <c:v>0.17</c:v>
                </c:pt>
                <c:pt idx="10">
                  <c:v>0.19</c:v>
                </c:pt>
                <c:pt idx="11">
                  <c:v>0.27</c:v>
                </c:pt>
                <c:pt idx="12">
                  <c:v>0.31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-0.12</c:v>
                </c:pt>
                <c:pt idx="1">
                  <c:v>-0.09</c:v>
                </c:pt>
                <c:pt idx="2">
                  <c:v>-0.08</c:v>
                </c:pt>
                <c:pt idx="3">
                  <c:v>-0.06</c:v>
                </c:pt>
                <c:pt idx="4">
                  <c:v>-7.0000000000000007E-2</c:v>
                </c:pt>
                <c:pt idx="5">
                  <c:v>-0.08</c:v>
                </c:pt>
                <c:pt idx="6">
                  <c:v>-9.0000000000000011E-2</c:v>
                </c:pt>
                <c:pt idx="7">
                  <c:v>-0.09</c:v>
                </c:pt>
                <c:pt idx="8">
                  <c:v>-0.09</c:v>
                </c:pt>
                <c:pt idx="9">
                  <c:v>-6.0000000000000005E-2</c:v>
                </c:pt>
                <c:pt idx="10">
                  <c:v>-7.0000000000000007E-2</c:v>
                </c:pt>
                <c:pt idx="11">
                  <c:v>-0.09</c:v>
                </c:pt>
                <c:pt idx="12">
                  <c:v>-0.12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1'!$C$81:$O$81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-0.09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-7.0000000000000007E-2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-0.06</c:v>
                </c:pt>
                <c:pt idx="10">
                  <c:v>-0.05</c:v>
                </c:pt>
                <c:pt idx="11">
                  <c:v>-7.0000000000000007E-2</c:v>
                </c:pt>
                <c:pt idx="12">
                  <c:v>-7.0000000000000007E-2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10648"/>
        <c:axId val="408311040"/>
      </c:barChart>
      <c:catAx>
        <c:axId val="40831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311040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10648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2017</c:v>
                </c:pt>
                <c:pt idx="1">
                  <c:v>Febrero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931.50329999999997</c:v>
                </c:pt>
                <c:pt idx="1">
                  <c:v>188.121621</c:v>
                </c:pt>
                <c:pt idx="2">
                  <c:v>334.30099999999999</c:v>
                </c:pt>
                <c:pt idx="3">
                  <c:v>142.44479999999999</c:v>
                </c:pt>
                <c:pt idx="4">
                  <c:v>118.3703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2016</c:v>
                </c:pt>
                <c:pt idx="1">
                  <c:v>Febrero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830.75559999999996</c:v>
                </c:pt>
                <c:pt idx="1">
                  <c:v>207.92772299999999</c:v>
                </c:pt>
                <c:pt idx="2">
                  <c:v>329.94529999999997</c:v>
                </c:pt>
                <c:pt idx="3">
                  <c:v>145.52760000000001</c:v>
                </c:pt>
                <c:pt idx="4">
                  <c:v>117.8952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309472"/>
        <c:axId val="408309080"/>
      </c:barChart>
      <c:catAx>
        <c:axId val="4083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09080"/>
        <c:crosses val="autoZero"/>
        <c:auto val="1"/>
        <c:lblAlgn val="ctr"/>
        <c:lblOffset val="100"/>
        <c:noMultiLvlLbl val="0"/>
      </c:catAx>
      <c:valAx>
        <c:axId val="4083090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8309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0504390392494"/>
          <c:y val="4.8587040763825105E-2"/>
          <c:w val="0.34997736618955017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336</c:v>
                </c:pt>
                <c:pt idx="1">
                  <c:v>3584.5</c:v>
                </c:pt>
                <c:pt idx="2">
                  <c:v>1458</c:v>
                </c:pt>
                <c:pt idx="3">
                  <c:v>8664.2000000000007</c:v>
                </c:pt>
                <c:pt idx="4">
                  <c:v>0</c:v>
                </c:pt>
                <c:pt idx="5">
                  <c:v>544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240</c:v>
                </c:pt>
                <c:pt idx="10">
                  <c:v>1160</c:v>
                </c:pt>
                <c:pt idx="11">
                  <c:v>0</c:v>
                </c:pt>
                <c:pt idx="12">
                  <c:v>712.6</c:v>
                </c:pt>
              </c:numCache>
            </c:numRef>
          </c:val>
        </c:ser>
        <c:ser>
          <c:idx val="4"/>
          <c:order val="1"/>
          <c:tx>
            <c:strRef>
              <c:f>'Data 1'!$C$140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286805.7</c:v>
                </c:pt>
                <c:pt idx="1">
                  <c:v>426186</c:v>
                </c:pt>
                <c:pt idx="2">
                  <c:v>456275.7</c:v>
                </c:pt>
                <c:pt idx="3">
                  <c:v>418905</c:v>
                </c:pt>
                <c:pt idx="4">
                  <c:v>206083.6</c:v>
                </c:pt>
                <c:pt idx="5">
                  <c:v>157445</c:v>
                </c:pt>
                <c:pt idx="6">
                  <c:v>238113.9</c:v>
                </c:pt>
                <c:pt idx="7">
                  <c:v>177358.6</c:v>
                </c:pt>
                <c:pt idx="8">
                  <c:v>91594.1</c:v>
                </c:pt>
                <c:pt idx="9">
                  <c:v>76065.2</c:v>
                </c:pt>
                <c:pt idx="10">
                  <c:v>91091.6</c:v>
                </c:pt>
                <c:pt idx="11">
                  <c:v>35729</c:v>
                </c:pt>
                <c:pt idx="12">
                  <c:v>198516.2</c:v>
                </c:pt>
              </c:numCache>
            </c:numRef>
          </c:val>
        </c:ser>
        <c:ser>
          <c:idx val="1"/>
          <c:order val="2"/>
          <c:tx>
            <c:strRef>
              <c:f>'Data 1'!$C$141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576496</c:v>
                </c:pt>
                <c:pt idx="1">
                  <c:v>803574</c:v>
                </c:pt>
                <c:pt idx="2">
                  <c:v>709097</c:v>
                </c:pt>
                <c:pt idx="3">
                  <c:v>894330.4</c:v>
                </c:pt>
                <c:pt idx="4">
                  <c:v>917663.8</c:v>
                </c:pt>
                <c:pt idx="5">
                  <c:v>927968.4</c:v>
                </c:pt>
                <c:pt idx="6">
                  <c:v>928531.9</c:v>
                </c:pt>
                <c:pt idx="7">
                  <c:v>907062.2</c:v>
                </c:pt>
                <c:pt idx="8">
                  <c:v>657310.6</c:v>
                </c:pt>
                <c:pt idx="9">
                  <c:v>577468</c:v>
                </c:pt>
                <c:pt idx="10">
                  <c:v>640964.5</c:v>
                </c:pt>
                <c:pt idx="11">
                  <c:v>696156.2</c:v>
                </c:pt>
                <c:pt idx="12">
                  <c:v>665095.19999999995</c:v>
                </c:pt>
              </c:numCache>
            </c:numRef>
          </c:val>
        </c:ser>
        <c:ser>
          <c:idx val="2"/>
          <c:order val="3"/>
          <c:tx>
            <c:strRef>
              <c:f>'Data 1'!$C$142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0</c:v>
                </c:pt>
                <c:pt idx="1">
                  <c:v>18068.099999999999</c:v>
                </c:pt>
                <c:pt idx="2">
                  <c:v>1030.5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4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0</c:v>
                </c:pt>
                <c:pt idx="4">
                  <c:v>1217</c:v>
                </c:pt>
                <c:pt idx="5">
                  <c:v>7584</c:v>
                </c:pt>
                <c:pt idx="6">
                  <c:v>7932.8</c:v>
                </c:pt>
                <c:pt idx="7">
                  <c:v>0</c:v>
                </c:pt>
                <c:pt idx="8">
                  <c:v>23959.3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11824"/>
        <c:axId val="408312216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88.618135648779571</c:v>
                </c:pt>
                <c:pt idx="1">
                  <c:v>73.17670591617825</c:v>
                </c:pt>
                <c:pt idx="2">
                  <c:v>65.421445049283378</c:v>
                </c:pt>
                <c:pt idx="3">
                  <c:v>67.422804182707978</c:v>
                </c:pt>
                <c:pt idx="4">
                  <c:v>69.294106506837011</c:v>
                </c:pt>
                <c:pt idx="5">
                  <c:v>71.028984581653702</c:v>
                </c:pt>
                <c:pt idx="6">
                  <c:v>74.006406740255613</c:v>
                </c:pt>
                <c:pt idx="7">
                  <c:v>79.845896002732516</c:v>
                </c:pt>
                <c:pt idx="8">
                  <c:v>102.17392832374129</c:v>
                </c:pt>
                <c:pt idx="9">
                  <c:v>80.507212944794929</c:v>
                </c:pt>
                <c:pt idx="10">
                  <c:v>89.322719495657552</c:v>
                </c:pt>
                <c:pt idx="11">
                  <c:v>114.1225159492226</c:v>
                </c:pt>
                <c:pt idx="12">
                  <c:v>92.084451201878252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13000"/>
        <c:axId val="408312608"/>
      </c:lineChart>
      <c:catAx>
        <c:axId val="40831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12216"/>
        <c:crosses val="autoZero"/>
        <c:auto val="1"/>
        <c:lblAlgn val="ctr"/>
        <c:lblOffset val="100"/>
        <c:noMultiLvlLbl val="1"/>
      </c:catAx>
      <c:valAx>
        <c:axId val="408312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11824"/>
        <c:crosses val="autoZero"/>
        <c:crossBetween val="between"/>
        <c:dispUnits>
          <c:builtInUnit val="thousands"/>
        </c:dispUnits>
      </c:valAx>
      <c:valAx>
        <c:axId val="40831260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13000"/>
        <c:crosses val="max"/>
        <c:crossBetween val="between"/>
      </c:valAx>
      <c:catAx>
        <c:axId val="408313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08312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8"/>
          <c:order val="0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1'!$D$155:$P$155</c:f>
              <c:numCache>
                <c:formatCode>#,##0.00</c:formatCode>
                <c:ptCount val="13"/>
              </c:numCache>
            </c:numRef>
          </c:val>
        </c:ser>
        <c:ser>
          <c:idx val="0"/>
          <c:order val="1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1032.5999999999999</c:v>
                </c:pt>
                <c:pt idx="1">
                  <c:v>829.1</c:v>
                </c:pt>
                <c:pt idx="2">
                  <c:v>135</c:v>
                </c:pt>
                <c:pt idx="3">
                  <c:v>18605.400000000001</c:v>
                </c:pt>
                <c:pt idx="4">
                  <c:v>366.7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856</c:v>
                </c:pt>
                <c:pt idx="9">
                  <c:v>0</c:v>
                </c:pt>
                <c:pt idx="10">
                  <c:v>0</c:v>
                </c:pt>
                <c:pt idx="11">
                  <c:v>2763.2</c:v>
                </c:pt>
                <c:pt idx="12">
                  <c:v>6933.6</c:v>
                </c:pt>
              </c:numCache>
            </c:numRef>
          </c:val>
        </c:ser>
        <c:ser>
          <c:idx val="10"/>
          <c:order val="2"/>
          <c:tx>
            <c:v>Hidráulica</c:v>
          </c:tx>
          <c:spPr>
            <a:solidFill>
              <a:srgbClr val="0090D1"/>
            </a:solidFill>
          </c:spPr>
          <c:invertIfNegative val="0"/>
          <c:val>
            <c:numRef>
              <c:f>'Data 1'!$D$154:$P$154</c:f>
              <c:numCache>
                <c:formatCode>#,##0.00</c:formatCode>
                <c:ptCount val="13"/>
              </c:numCache>
            </c:numRef>
          </c:val>
        </c:ser>
        <c:ser>
          <c:idx val="1"/>
          <c:order val="3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2280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294</c:v>
                </c:pt>
                <c:pt idx="5">
                  <c:v>11178.1</c:v>
                </c:pt>
                <c:pt idx="6">
                  <c:v>4145.2</c:v>
                </c:pt>
                <c:pt idx="7">
                  <c:v>2530</c:v>
                </c:pt>
                <c:pt idx="8">
                  <c:v>15307.2</c:v>
                </c:pt>
                <c:pt idx="9">
                  <c:v>2438</c:v>
                </c:pt>
                <c:pt idx="10">
                  <c:v>0</c:v>
                </c:pt>
                <c:pt idx="11">
                  <c:v>0</c:v>
                </c:pt>
                <c:pt idx="12">
                  <c:v>58033.7</c:v>
                </c:pt>
              </c:numCache>
            </c:numRef>
          </c:val>
        </c:ser>
        <c:ser>
          <c:idx val="2"/>
          <c:order val="4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1800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4100.8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30295.599999999999</c:v>
                </c:pt>
                <c:pt idx="9">
                  <c:v>3386</c:v>
                </c:pt>
                <c:pt idx="10">
                  <c:v>0</c:v>
                </c:pt>
                <c:pt idx="11">
                  <c:v>400</c:v>
                </c:pt>
                <c:pt idx="12">
                  <c:v>0</c:v>
                </c:pt>
              </c:numCache>
            </c:numRef>
          </c:val>
        </c:ser>
        <c:ser>
          <c:idx val="3"/>
          <c:order val="5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0</c:v>
                </c:pt>
                <c:pt idx="1">
                  <c:v>14998.4</c:v>
                </c:pt>
                <c:pt idx="2">
                  <c:v>5477.7</c:v>
                </c:pt>
                <c:pt idx="3">
                  <c:v>822</c:v>
                </c:pt>
                <c:pt idx="4">
                  <c:v>2338.3000000000002</c:v>
                </c:pt>
                <c:pt idx="5">
                  <c:v>16656.7</c:v>
                </c:pt>
                <c:pt idx="6">
                  <c:v>11379.4</c:v>
                </c:pt>
                <c:pt idx="7">
                  <c:v>2970.9</c:v>
                </c:pt>
                <c:pt idx="8">
                  <c:v>607.6</c:v>
                </c:pt>
                <c:pt idx="9">
                  <c:v>274</c:v>
                </c:pt>
                <c:pt idx="10">
                  <c:v>0</c:v>
                </c:pt>
                <c:pt idx="11">
                  <c:v>0</c:v>
                </c:pt>
                <c:pt idx="12">
                  <c:v>988.1</c:v>
                </c:pt>
              </c:numCache>
            </c:numRef>
          </c:val>
        </c:ser>
        <c:ser>
          <c:idx val="4"/>
          <c:order val="6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57.8</c:v>
                </c:pt>
              </c:numCache>
            </c:numRef>
          </c:val>
        </c:ser>
        <c:ser>
          <c:idx val="5"/>
          <c:order val="7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667.3</c:v>
                </c:pt>
                <c:pt idx="1">
                  <c:v>168</c:v>
                </c:pt>
                <c:pt idx="2">
                  <c:v>0</c:v>
                </c:pt>
                <c:pt idx="3">
                  <c:v>899</c:v>
                </c:pt>
                <c:pt idx="4">
                  <c:v>4944.8999999999996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117.8</c:v>
                </c:pt>
                <c:pt idx="10">
                  <c:v>2368.1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8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13784"/>
        <c:axId val="408309864"/>
      </c:barChart>
      <c:lineChart>
        <c:grouping val="standard"/>
        <c:varyColors val="0"/>
        <c:ser>
          <c:idx val="7"/>
          <c:order val="9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1'!$D$154:$P$154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0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38.534843163376529</c:v>
                </c:pt>
                <c:pt idx="1">
                  <c:v>28.64172710673154</c:v>
                </c:pt>
                <c:pt idx="2">
                  <c:v>24.03285296545549</c:v>
                </c:pt>
                <c:pt idx="3">
                  <c:v>35.666043103766278</c:v>
                </c:pt>
                <c:pt idx="4">
                  <c:v>40.179360635508253</c:v>
                </c:pt>
                <c:pt idx="5">
                  <c:v>42.703347382216762</c:v>
                </c:pt>
                <c:pt idx="6">
                  <c:v>41.243095938531482</c:v>
                </c:pt>
                <c:pt idx="7">
                  <c:v>45.042061407195703</c:v>
                </c:pt>
                <c:pt idx="8">
                  <c:v>59.241832602451012</c:v>
                </c:pt>
                <c:pt idx="9">
                  <c:v>66.158074584124321</c:v>
                </c:pt>
                <c:pt idx="10">
                  <c:v>63.394308894942547</c:v>
                </c:pt>
                <c:pt idx="11">
                  <c:v>87.216925897824993</c:v>
                </c:pt>
                <c:pt idx="12">
                  <c:v>59.043409800461518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16720"/>
        <c:axId val="408314176"/>
      </c:lineChart>
      <c:valAx>
        <c:axId val="408309864"/>
        <c:scaling>
          <c:orientation val="maxMin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408313784"/>
        <c:crosses val="autoZero"/>
        <c:crossBetween val="between"/>
        <c:dispUnits>
          <c:builtInUnit val="thousands"/>
        </c:dispUnits>
      </c:valAx>
      <c:catAx>
        <c:axId val="40831378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8309864"/>
        <c:crossesAt val="0"/>
        <c:auto val="1"/>
        <c:lblAlgn val="ctr"/>
        <c:lblOffset val="100"/>
        <c:noMultiLvlLbl val="0"/>
      </c:catAx>
      <c:valAx>
        <c:axId val="40831417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410916720"/>
        <c:crosses val="max"/>
        <c:crossBetween val="between"/>
      </c:valAx>
      <c:catAx>
        <c:axId val="4109167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831417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16802145004724E-2"/>
          <c:y val="0.78434509708607614"/>
          <c:w val="0.91562066762226713"/>
          <c:h val="0.185589231912855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675.1422413793</c:v>
                </c:pt>
                <c:pt idx="1">
                  <c:v>685.40646029610002</c:v>
                </c:pt>
                <c:pt idx="2">
                  <c:v>677.2152777778</c:v>
                </c:pt>
                <c:pt idx="3">
                  <c:v>666.32795698919995</c:v>
                </c:pt>
                <c:pt idx="4">
                  <c:v>664.29166666670005</c:v>
                </c:pt>
                <c:pt idx="5">
                  <c:v>686.78763440859996</c:v>
                </c:pt>
                <c:pt idx="6">
                  <c:v>694.56048387099997</c:v>
                </c:pt>
                <c:pt idx="7">
                  <c:v>691.88888888890006</c:v>
                </c:pt>
                <c:pt idx="8">
                  <c:v>669.59060402679995</c:v>
                </c:pt>
                <c:pt idx="9">
                  <c:v>686.04444444440003</c:v>
                </c:pt>
                <c:pt idx="10">
                  <c:v>698.83602150540003</c:v>
                </c:pt>
                <c:pt idx="11">
                  <c:v>712.52016129030005</c:v>
                </c:pt>
                <c:pt idx="12">
                  <c:v>690.06696428570001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17504"/>
        <c:axId val="410917896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25.368966912000001</c:v>
                </c:pt>
                <c:pt idx="1">
                  <c:v>22.0125371233</c:v>
                </c:pt>
                <c:pt idx="2">
                  <c:v>18.950403146599999</c:v>
                </c:pt>
                <c:pt idx="3">
                  <c:v>18.616068699100001</c:v>
                </c:pt>
                <c:pt idx="4">
                  <c:v>11.4989193337</c:v>
                </c:pt>
                <c:pt idx="5">
                  <c:v>11.051812032999999</c:v>
                </c:pt>
                <c:pt idx="6">
                  <c:v>10.705185459200001</c:v>
                </c:pt>
                <c:pt idx="7">
                  <c:v>8.6965031858999993</c:v>
                </c:pt>
                <c:pt idx="8">
                  <c:v>10.667894227</c:v>
                </c:pt>
                <c:pt idx="9">
                  <c:v>15.1275113394</c:v>
                </c:pt>
                <c:pt idx="10">
                  <c:v>13.988426286899999</c:v>
                </c:pt>
                <c:pt idx="11">
                  <c:v>19.8404244623</c:v>
                </c:pt>
                <c:pt idx="12">
                  <c:v>15.125065320299999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18680"/>
        <c:axId val="410918288"/>
      </c:lineChart>
      <c:catAx>
        <c:axId val="4109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17896"/>
        <c:crosses val="autoZero"/>
        <c:auto val="1"/>
        <c:lblAlgn val="ctr"/>
        <c:lblOffset val="100"/>
        <c:noMultiLvlLbl val="1"/>
      </c:catAx>
      <c:valAx>
        <c:axId val="41091789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17504"/>
        <c:crosses val="autoZero"/>
        <c:crossBetween val="between"/>
        <c:majorUnit val="200"/>
      </c:valAx>
      <c:valAx>
        <c:axId val="41091828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18680"/>
        <c:crosses val="max"/>
        <c:crossBetween val="between"/>
        <c:majorUnit val="10"/>
      </c:valAx>
      <c:catAx>
        <c:axId val="410918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91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0.4398</cdr:x>
      <cdr:y>0.93688</cdr:y>
    </cdr:from>
    <cdr:to>
      <cdr:x>0.53023</cdr:x>
      <cdr:y>0.99782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3103087" y="2818130"/>
          <a:ext cx="638042" cy="183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0.86488</cdr:x>
      <cdr:y>0.93484</cdr:y>
    </cdr:from>
    <cdr:to>
      <cdr:x>0.94469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102252" y="2811994"/>
          <a:ext cx="563111" cy="196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0.88523</cdr:x>
      <cdr:y>0.12092</cdr:y>
    </cdr:from>
    <cdr:to>
      <cdr:x>0.8877</cdr:x>
      <cdr:y>0.81553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6775173" y="306457"/>
          <a:ext cx="18918" cy="17604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0.89649</cdr:x>
      <cdr:y>0.89913</cdr:y>
    </cdr:from>
    <cdr:to>
      <cdr:x>0.97012</cdr:x>
      <cdr:y>0.97258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861351" y="2278821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0.45142</cdr:x>
      <cdr:y>0.90494</cdr:y>
    </cdr:from>
    <cdr:to>
      <cdr:x>0.52504</cdr:x>
      <cdr:y>0.97839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3454952" y="2293540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0.88867</cdr:x>
      <cdr:y>0.06253</cdr:y>
    </cdr:from>
    <cdr:to>
      <cdr:x>0.89114</cdr:x>
      <cdr:y>0.75715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801126" y="158474"/>
          <a:ext cx="18918" cy="17604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0.81724</cdr:x>
      <cdr:y>0.12526</cdr:y>
    </cdr:from>
    <cdr:to>
      <cdr:x>0.81814</cdr:x>
      <cdr:y>0.81297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57953" y="290179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0.89205</cdr:x>
      <cdr:y>0.8711</cdr:y>
    </cdr:from>
    <cdr:to>
      <cdr:x>0.96685</cdr:x>
      <cdr:y>0.94969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20547" y="2063474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0.4399</cdr:x>
      <cdr:y>0.87731</cdr:y>
    </cdr:from>
    <cdr:to>
      <cdr:x>0.5147</cdr:x>
      <cdr:y>0.9559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14148" y="2078193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0.8152</cdr:x>
      <cdr:y>0.02202</cdr:y>
    </cdr:from>
    <cdr:to>
      <cdr:x>0.81694</cdr:x>
      <cdr:y>0.85614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43353" y="37576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0.81973</cdr:x>
      <cdr:y>0.1205</cdr:y>
    </cdr:from>
    <cdr:to>
      <cdr:x>0.81992</cdr:x>
      <cdr:y>0.81992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6176746" y="282155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0.87275</cdr:x>
      <cdr:y>0.8822</cdr:y>
    </cdr:from>
    <cdr:to>
      <cdr:x>0.94756</cdr:x>
      <cdr:y>0.95998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576266" y="206567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0.4421</cdr:x>
      <cdr:y>0.89242</cdr:y>
    </cdr:from>
    <cdr:to>
      <cdr:x>0.51689</cdr:x>
      <cdr:y>0.9702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0713" y="213617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0.81884</cdr:x>
      <cdr:y>0.02095</cdr:y>
    </cdr:from>
    <cdr:to>
      <cdr:x>0.81994</cdr:x>
      <cdr:y>0.84806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70797" y="36426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99391</xdr:rowOff>
    </xdr:from>
    <xdr:to>
      <xdr:col>11</xdr:col>
      <xdr:colOff>554935</xdr:colOff>
      <xdr:row>21</xdr:row>
      <xdr:rowOff>24847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0.82212</cdr:x>
      <cdr:y>0.09132</cdr:y>
    </cdr:from>
    <cdr:to>
      <cdr:x>0.82397</cdr:x>
      <cdr:y>0.76628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94852" y="235859"/>
          <a:ext cx="13902" cy="174327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0.82144</cdr:x>
      <cdr:y>0.1336</cdr:y>
    </cdr:from>
    <cdr:to>
      <cdr:x>0.82212</cdr:x>
      <cdr:y>0.85945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89704" y="357809"/>
          <a:ext cx="5147" cy="194395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0.87121</cdr:x>
      <cdr:y>0.92397</cdr:y>
    </cdr:from>
    <cdr:to>
      <cdr:x>0.94601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564775" y="2474559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0.44314</cdr:x>
      <cdr:y>0.92955</cdr:y>
    </cdr:from>
    <cdr:to>
      <cdr:x>0.51793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8996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405848</xdr:colOff>
      <xdr:row>41</xdr:row>
      <xdr:rowOff>99391</xdr:rowOff>
    </xdr:from>
    <xdr:to>
      <xdr:col>9</xdr:col>
      <xdr:colOff>588066</xdr:colOff>
      <xdr:row>51</xdr:row>
      <xdr:rowOff>0</xdr:rowOff>
    </xdr:to>
    <xdr:sp macro="" textlink="">
      <xdr:nvSpPr>
        <xdr:cNvPr id="7" name="CuadroTexto 6"/>
        <xdr:cNvSpPr txBox="1"/>
      </xdr:nvSpPr>
      <xdr:spPr>
        <a:xfrm>
          <a:off x="3694044" y="7065065"/>
          <a:ext cx="4000500" cy="1606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VOLUMEN DE ENERGÍA</a:t>
          </a:r>
          <a:r>
            <a:rPr lang="es-ES" sz="1100" baseline="0"/>
            <a:t> DE GESTIÓN DE DESVÍOS</a:t>
          </a:r>
        </a:p>
        <a:p>
          <a:endParaRPr lang="es-ES" sz="1100" baseline="0"/>
        </a:p>
        <a:p>
          <a:r>
            <a:rPr lang="es-ES" sz="1100" baseline="0"/>
            <a:t>70,1% INFERIOR A LA DEL MISMO PERIODO DEL AÑO ANTERIOR</a:t>
          </a:r>
          <a:endParaRPr lang="es-ES" sz="1100"/>
        </a:p>
        <a:p>
          <a:endParaRPr lang="es-ES" sz="1100"/>
        </a:p>
        <a:p>
          <a:r>
            <a:rPr lang="es-ES" sz="1100"/>
            <a:t>PRECIO</a:t>
          </a:r>
          <a:r>
            <a:rPr lang="es-ES" sz="1100" baseline="0"/>
            <a:t> MEDIO DE GESTION DE DESVÍOS</a:t>
          </a:r>
        </a:p>
        <a:p>
          <a:endParaRPr lang="es-ES" sz="1100"/>
        </a:p>
        <a:p>
          <a:r>
            <a:rPr lang="es-ES" sz="1100"/>
            <a:t>SUBIR 31,5</a:t>
          </a:r>
          <a:r>
            <a:rPr lang="es-ES" sz="1100" baseline="0"/>
            <a:t> </a:t>
          </a:r>
          <a:r>
            <a:rPr lang="es-ES" sz="1100"/>
            <a:t> %</a:t>
          </a:r>
          <a:r>
            <a:rPr lang="es-ES" sz="1100" baseline="0"/>
            <a:t> INFERIOR A LA DEL MISMO MES DEL PASADO AÑO</a:t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0.81882</cdr:x>
      <cdr:y>0.09077</cdr:y>
    </cdr:from>
    <cdr:to>
      <cdr:x>0.82056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69957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0.81638</cdr:x>
      <cdr:y>0.09653</cdr:y>
    </cdr:from>
    <cdr:to>
      <cdr:x>0.81801</cdr:x>
      <cdr:y>0.85415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51604" y="249307"/>
          <a:ext cx="12294" cy="19567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0.8622</cdr:x>
      <cdr:y>0.92397</cdr:y>
    </cdr:from>
    <cdr:to>
      <cdr:x>0.937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496863" y="2386399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0.44424</cdr:x>
      <cdr:y>0.92955</cdr:y>
    </cdr:from>
    <cdr:to>
      <cdr:x>0.51903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47278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190499</xdr:colOff>
      <xdr:row>44</xdr:row>
      <xdr:rowOff>66261</xdr:rowOff>
    </xdr:from>
    <xdr:to>
      <xdr:col>9</xdr:col>
      <xdr:colOff>372717</xdr:colOff>
      <xdr:row>53</xdr:row>
      <xdr:rowOff>57979</xdr:rowOff>
    </xdr:to>
    <xdr:sp macro="" textlink="">
      <xdr:nvSpPr>
        <xdr:cNvPr id="7" name="CuadroTexto 6"/>
        <xdr:cNvSpPr txBox="1"/>
      </xdr:nvSpPr>
      <xdr:spPr>
        <a:xfrm>
          <a:off x="3478695" y="7454348"/>
          <a:ext cx="4000500" cy="1631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VOLUMEN</a:t>
          </a:r>
          <a:r>
            <a:rPr lang="es-ES" sz="1100" baseline="0"/>
            <a:t> DE E</a:t>
          </a:r>
          <a:r>
            <a:rPr lang="es-ES" sz="1100"/>
            <a:t>NERGÍA DE RESTRICCIONES TIEMPO REAL</a:t>
          </a:r>
        </a:p>
        <a:p>
          <a:endParaRPr lang="es-ES" sz="1100"/>
        </a:p>
        <a:p>
          <a:r>
            <a:rPr lang="es-ES" sz="1100"/>
            <a:t>71,4 % INFERIOR A LA DEL MISMO MES</a:t>
          </a:r>
          <a:r>
            <a:rPr lang="es-ES" sz="1100" baseline="0"/>
            <a:t> DEL PASADO AÑO</a:t>
          </a:r>
          <a:endParaRPr lang="es-ES" sz="1100"/>
        </a:p>
        <a:p>
          <a:endParaRPr lang="es-ES" sz="1100"/>
        </a:p>
        <a:p>
          <a:r>
            <a:rPr lang="es-ES" sz="1100"/>
            <a:t>PRECIO</a:t>
          </a:r>
          <a:r>
            <a:rPr lang="es-ES" sz="1100" baseline="0"/>
            <a:t> MEDIO</a:t>
          </a:r>
        </a:p>
        <a:p>
          <a:endParaRPr lang="es-ES" sz="1100" baseline="0"/>
        </a:p>
        <a:p>
          <a:r>
            <a:rPr lang="es-ES" sz="1100" baseline="0"/>
            <a:t>SUBIR  43,4% INFERIOR A AL DEL MISMO MES DEL PASADO AÑO</a:t>
          </a:r>
          <a:endParaRPr lang="es-ES" sz="1100"/>
        </a:p>
      </xdr:txBody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0.617</cdr:x>
      <cdr:y>0.2672</cdr:y>
    </cdr:from>
    <cdr:to>
      <cdr:x>0.7465</cdr:x>
      <cdr:y>0.3282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1422" y="641362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0.32637</cdr:x>
      <cdr:y>0.60963</cdr:y>
    </cdr:from>
    <cdr:to>
      <cdr:x>0.45587</cdr:x>
      <cdr:y>0.67063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3865" y="1463294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0.81427</cdr:x>
      <cdr:y>0.09275</cdr:y>
    </cdr:from>
    <cdr:to>
      <cdr:x>0.81591</cdr:x>
      <cdr:y>0.75272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058111" y="276479"/>
          <a:ext cx="12201" cy="1967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0.8182</cdr:x>
      <cdr:y>0.09156</cdr:y>
    </cdr:from>
    <cdr:to>
      <cdr:x>0.81875</cdr:x>
      <cdr:y>0.86107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087414" y="236469"/>
          <a:ext cx="4034" cy="19874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0.89405</cdr:x>
      <cdr:y>0.92397</cdr:y>
    </cdr:from>
    <cdr:to>
      <cdr:x>0.96977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654286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0.43638</cdr:x>
      <cdr:y>0.92955</cdr:y>
    </cdr:from>
    <cdr:to>
      <cdr:x>0.51209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47887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0.81277</cdr:x>
      <cdr:y>0.10767</cdr:y>
    </cdr:from>
    <cdr:to>
      <cdr:x>0.81768</cdr:x>
      <cdr:y>0.88449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22960" y="406358"/>
          <a:ext cx="36989" cy="29316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0.86275</cdr:x>
      <cdr:y>0.92518</cdr:y>
    </cdr:from>
    <cdr:to>
      <cdr:x>0.93759</cdr:x>
      <cdr:y>0.97341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499497" y="3491603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0.44452</cdr:x>
      <cdr:y>0.92899</cdr:y>
    </cdr:from>
    <cdr:to>
      <cdr:x>0.51935</cdr:x>
      <cdr:y>0.97723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47279" y="3585627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0.82348</cdr:x>
      <cdr:y>0.20185</cdr:y>
    </cdr:from>
    <cdr:to>
      <cdr:x>0.82483</cdr:x>
      <cdr:y>0.87577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5812159" y="619098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0.0072</cdr:x>
      <cdr:y>0.05383</cdr:y>
    </cdr:from>
    <cdr:to>
      <cdr:x>0.04375</cdr:x>
      <cdr:y>0.12476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50800" y="165100"/>
          <a:ext cx="258019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0.39856</cdr:x>
      <cdr:y>0.92961</cdr:y>
    </cdr:from>
    <cdr:to>
      <cdr:x>0.47837</cdr:x>
      <cdr:y>0.99169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13050" y="2851150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0.8655</cdr:x>
      <cdr:y>0.92961</cdr:y>
    </cdr:from>
    <cdr:to>
      <cdr:x>0.94531</cdr:x>
      <cdr:y>0.99169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108700" y="2851150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0.86613</cdr:x>
      <cdr:y>0.91408</cdr:y>
    </cdr:from>
    <cdr:to>
      <cdr:x>0.94594</cdr:x>
      <cdr:y>0.97758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113174" y="274084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0.82483</cdr:x>
      <cdr:y>0.16836</cdr:y>
    </cdr:from>
    <cdr:to>
      <cdr:x>0.82501</cdr:x>
      <cdr:y>0.85387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5821681" y="50483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0.46063</cdr:x>
      <cdr:y>0.90004</cdr:y>
    </cdr:from>
    <cdr:to>
      <cdr:x>0.54044</cdr:x>
      <cdr:y>0.96354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51169" y="2698753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5769769</xdr:colOff>
      <xdr:row>9</xdr:row>
      <xdr:rowOff>164307</xdr:rowOff>
    </xdr:from>
    <xdr:to>
      <xdr:col>4</xdr:col>
      <xdr:colOff>5769769</xdr:colOff>
      <xdr:row>21</xdr:row>
      <xdr:rowOff>111919</xdr:rowOff>
    </xdr:to>
    <xdr:cxnSp macro="">
      <xdr:nvCxnSpPr>
        <xdr:cNvPr id="3" name="Conector recto 2"/>
        <xdr:cNvCxnSpPr/>
      </xdr:nvCxnSpPr>
      <xdr:spPr bwMode="auto">
        <a:xfrm flipV="1">
          <a:off x="7627144" y="1688307"/>
          <a:ext cx="0" cy="19478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tabSelected="1" workbookViewId="0">
      <selection activeCell="E3" sqref="E3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8"/>
      <c r="D2" s="148"/>
      <c r="E2" s="149" t="s">
        <v>37</v>
      </c>
    </row>
    <row r="3" spans="2:8" ht="15" customHeight="1">
      <c r="C3" s="148"/>
      <c r="D3" s="148"/>
      <c r="E3" s="145"/>
    </row>
    <row r="4" spans="2:8" s="2" customFormat="1" ht="20.25" customHeight="1">
      <c r="B4" s="3"/>
      <c r="C4" s="150" t="s">
        <v>36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1"/>
      <c r="D7" s="11"/>
      <c r="E7" s="11"/>
    </row>
    <row r="8" spans="2:8" s="2" customFormat="1" ht="12.6" customHeight="1">
      <c r="B8" s="3"/>
      <c r="C8" s="152"/>
      <c r="D8" s="153" t="s">
        <v>149</v>
      </c>
      <c r="E8" s="154" t="s">
        <v>49</v>
      </c>
      <c r="F8" s="155"/>
      <c r="G8" s="92"/>
    </row>
    <row r="9" spans="2:8" s="2" customFormat="1" ht="12.6" customHeight="1">
      <c r="B9" s="3"/>
      <c r="C9" s="152"/>
      <c r="D9" s="153" t="s">
        <v>149</v>
      </c>
      <c r="E9" s="154" t="s">
        <v>150</v>
      </c>
      <c r="F9" s="155"/>
      <c r="G9" s="92"/>
    </row>
    <row r="10" spans="2:8" s="2" customFormat="1" ht="12.6" customHeight="1">
      <c r="B10" s="3"/>
      <c r="C10" s="152"/>
      <c r="D10" s="153" t="s">
        <v>149</v>
      </c>
      <c r="E10" s="154" t="s">
        <v>151</v>
      </c>
      <c r="F10" s="155"/>
      <c r="H10" s="156"/>
    </row>
    <row r="11" spans="2:8" s="2" customFormat="1" ht="12.6" customHeight="1">
      <c r="B11" s="3"/>
      <c r="C11" s="152"/>
      <c r="D11" s="153" t="s">
        <v>149</v>
      </c>
      <c r="E11" s="154" t="s">
        <v>152</v>
      </c>
      <c r="F11" s="155"/>
      <c r="H11" s="156"/>
    </row>
    <row r="12" spans="2:8" s="2" customFormat="1" ht="12.6" customHeight="1">
      <c r="B12" s="3"/>
      <c r="C12" s="152"/>
      <c r="D12" s="153" t="s">
        <v>149</v>
      </c>
      <c r="E12" s="154" t="s">
        <v>33</v>
      </c>
      <c r="F12" s="155"/>
    </row>
    <row r="13" spans="2:8" s="2" customFormat="1" ht="12.6" customHeight="1">
      <c r="B13" s="3"/>
      <c r="C13" s="152"/>
      <c r="D13" s="153" t="s">
        <v>149</v>
      </c>
      <c r="E13" s="154" t="s">
        <v>153</v>
      </c>
      <c r="F13" s="155"/>
    </row>
    <row r="14" spans="2:8" s="2" customFormat="1" ht="12.6" customHeight="1">
      <c r="B14" s="3"/>
      <c r="C14" s="152"/>
      <c r="D14" s="153" t="s">
        <v>149</v>
      </c>
      <c r="E14" s="154" t="s">
        <v>62</v>
      </c>
      <c r="F14" s="155"/>
    </row>
    <row r="15" spans="2:8" s="2" customFormat="1" ht="12.6" customHeight="1">
      <c r="B15" s="3"/>
      <c r="C15" s="152"/>
      <c r="D15" s="153" t="s">
        <v>149</v>
      </c>
      <c r="E15" s="154" t="s">
        <v>44</v>
      </c>
      <c r="F15" s="155"/>
    </row>
    <row r="16" spans="2:8" s="2" customFormat="1" ht="12.6" customHeight="1">
      <c r="B16" s="3"/>
      <c r="C16" s="152"/>
      <c r="D16" s="153" t="s">
        <v>149</v>
      </c>
      <c r="E16" s="154" t="s">
        <v>14</v>
      </c>
      <c r="F16" s="155"/>
    </row>
    <row r="17" spans="2:6" s="2" customFormat="1" ht="12.6" customHeight="1">
      <c r="B17" s="3"/>
      <c r="C17" s="152"/>
      <c r="D17" s="153" t="s">
        <v>149</v>
      </c>
      <c r="E17" s="154" t="s">
        <v>89</v>
      </c>
      <c r="F17" s="155"/>
    </row>
    <row r="18" spans="2:6" s="2" customFormat="1" ht="12.6" customHeight="1">
      <c r="B18" s="3"/>
      <c r="C18" s="152"/>
      <c r="D18" s="153" t="s">
        <v>149</v>
      </c>
      <c r="E18" s="154" t="s">
        <v>3</v>
      </c>
      <c r="F18" s="155"/>
    </row>
    <row r="19" spans="2:6" s="2" customFormat="1" ht="12.6" customHeight="1">
      <c r="B19" s="3"/>
      <c r="C19" s="152"/>
      <c r="D19" s="153" t="s">
        <v>149</v>
      </c>
      <c r="E19" s="154" t="s">
        <v>90</v>
      </c>
      <c r="F19" s="155"/>
    </row>
    <row r="20" spans="2:6" s="2" customFormat="1" ht="12.6" customHeight="1">
      <c r="B20" s="3"/>
      <c r="C20" s="152"/>
      <c r="D20" s="153" t="s">
        <v>149</v>
      </c>
      <c r="E20" s="154" t="s">
        <v>28</v>
      </c>
      <c r="F20" s="155"/>
    </row>
    <row r="21" spans="2:6" s="2" customFormat="1" ht="12.6" customHeight="1">
      <c r="B21" s="3"/>
      <c r="C21" s="152"/>
      <c r="D21" s="157" t="s">
        <v>149</v>
      </c>
      <c r="E21" s="154" t="s">
        <v>27</v>
      </c>
      <c r="F21" s="155"/>
    </row>
    <row r="22" spans="2:6" s="2" customFormat="1" ht="8.25" customHeight="1">
      <c r="B22" s="3"/>
      <c r="C22" s="152"/>
      <c r="D22" s="157"/>
      <c r="E22" s="158"/>
      <c r="F22" s="155"/>
    </row>
    <row r="23" spans="2:6" ht="11.25" customHeight="1"/>
    <row r="24" spans="2:6">
      <c r="C24" s="159" t="s">
        <v>154</v>
      </c>
      <c r="E24" s="2"/>
    </row>
    <row r="27" spans="2:6">
      <c r="E27" s="160"/>
    </row>
    <row r="28" spans="2:6">
      <c r="E28" s="160"/>
    </row>
    <row r="29" spans="2:6">
      <c r="E29" s="160"/>
    </row>
    <row r="30" spans="2:6">
      <c r="E30" s="7"/>
    </row>
    <row r="31" spans="2:6">
      <c r="E31" s="161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zoomScaleNormal="100" workbookViewId="0">
      <selection activeCell="O12" sqref="O12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37</v>
      </c>
    </row>
    <row r="2" spans="1:37">
      <c r="L2" s="20" t="s">
        <v>185</v>
      </c>
    </row>
    <row r="4" spans="1:37">
      <c r="A4" s="33"/>
      <c r="B4" s="21" t="s">
        <v>36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84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84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69</v>
      </c>
      <c r="F9" s="35"/>
      <c r="G9" s="35"/>
    </row>
    <row r="10" spans="1:37">
      <c r="B10" s="184"/>
      <c r="F10" s="35"/>
      <c r="G10" s="35"/>
    </row>
    <row r="11" spans="1:37" s="34" customFormat="1">
      <c r="B11" s="184"/>
      <c r="F11" s="35"/>
      <c r="G11" s="35"/>
    </row>
    <row r="12" spans="1:37">
      <c r="B12" s="184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zoomScaleNormal="100" workbookViewId="0">
      <selection activeCell="O21" sqref="O21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37</v>
      </c>
    </row>
    <row r="2" spans="1:37">
      <c r="L2" s="88" t="s">
        <v>185</v>
      </c>
    </row>
    <row r="4" spans="1:37">
      <c r="A4" s="33"/>
      <c r="B4" s="21" t="s">
        <v>36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84" t="s">
        <v>89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84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88</v>
      </c>
      <c r="F9" s="35"/>
      <c r="G9" s="35"/>
    </row>
    <row r="10" spans="1:37">
      <c r="B10" s="184"/>
      <c r="F10" s="35"/>
      <c r="G10" s="35"/>
    </row>
    <row r="11" spans="1:37" s="34" customFormat="1">
      <c r="B11" s="184"/>
      <c r="F11" s="35"/>
      <c r="G11" s="35"/>
    </row>
    <row r="12" spans="1:37">
      <c r="B12" s="184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zoomScaleNormal="100" workbookViewId="0">
      <selection activeCell="P30" sqref="P30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185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88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84"/>
      <c r="F10" s="35"/>
      <c r="G10" s="35"/>
    </row>
    <row r="11" spans="1:38" s="34" customFormat="1" ht="12.75" customHeight="1">
      <c r="B11" s="184"/>
      <c r="F11" s="35"/>
      <c r="G11" s="35"/>
    </row>
    <row r="12" spans="1:38" ht="12.75" customHeight="1">
      <c r="B12" s="184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zoomScaleNormal="100" workbookViewId="0">
      <selection activeCell="S23" sqref="S23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185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90</v>
      </c>
      <c r="F7" s="35"/>
      <c r="G7" s="35"/>
      <c r="H7" s="36"/>
      <c r="I7" s="36"/>
      <c r="J7" s="36"/>
      <c r="K7" s="36"/>
      <c r="L7" s="36"/>
      <c r="M7" s="36"/>
      <c r="P7" s="30" t="s">
        <v>6</v>
      </c>
      <c r="Q7" s="30" t="s">
        <v>7</v>
      </c>
      <c r="R7" s="30" t="s">
        <v>8</v>
      </c>
      <c r="S7" s="30" t="s">
        <v>7</v>
      </c>
      <c r="T7" s="30" t="s">
        <v>9</v>
      </c>
      <c r="U7" s="30" t="s">
        <v>9</v>
      </c>
      <c r="V7" s="30" t="s">
        <v>8</v>
      </c>
      <c r="W7" s="30" t="s">
        <v>10</v>
      </c>
      <c r="X7" s="30" t="s">
        <v>11</v>
      </c>
      <c r="Y7" s="30" t="s">
        <v>12</v>
      </c>
      <c r="Z7" s="30" t="s">
        <v>13</v>
      </c>
      <c r="AA7" s="30" t="s">
        <v>5</v>
      </c>
      <c r="AB7" s="30" t="s">
        <v>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88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84"/>
      <c r="F10" s="35"/>
      <c r="G10" s="35"/>
    </row>
    <row r="11" spans="1:38" s="34" customFormat="1" ht="12.75" customHeight="1">
      <c r="B11" s="184"/>
      <c r="F11" s="35"/>
      <c r="G11" s="35"/>
    </row>
    <row r="12" spans="1:38" ht="12.75" customHeight="1">
      <c r="B12" s="184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zoomScaleNormal="100" workbookViewId="0">
      <selection activeCell="O25" sqref="O25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37</v>
      </c>
    </row>
    <row r="2" spans="1:38">
      <c r="L2" s="88" t="s">
        <v>185</v>
      </c>
    </row>
    <row r="4" spans="1:38">
      <c r="A4" s="33"/>
      <c r="B4" s="21" t="s">
        <v>36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84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84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88</v>
      </c>
      <c r="F9" s="35"/>
      <c r="G9" s="35"/>
    </row>
    <row r="10" spans="1:38" ht="12.75" customHeight="1">
      <c r="B10" s="184"/>
      <c r="F10" s="35"/>
      <c r="G10" s="35"/>
    </row>
    <row r="11" spans="1:38" s="34" customFormat="1" ht="12.75" customHeight="1">
      <c r="B11" s="184"/>
      <c r="F11" s="35"/>
      <c r="G11" s="35"/>
    </row>
    <row r="12" spans="1:38" ht="12.75" customHeight="1">
      <c r="B12" s="184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zoomScaleNormal="100" workbookViewId="0">
      <selection activeCell="N23" sqref="N23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37</v>
      </c>
    </row>
    <row r="2" spans="1:37">
      <c r="L2" s="88" t="s">
        <v>185</v>
      </c>
    </row>
    <row r="4" spans="1:37">
      <c r="A4" s="33"/>
      <c r="B4" s="21" t="s">
        <v>36</v>
      </c>
      <c r="C4" s="33"/>
      <c r="O4" s="77" t="s">
        <v>6</v>
      </c>
      <c r="P4" s="77" t="s">
        <v>7</v>
      </c>
      <c r="Q4" s="77" t="s">
        <v>8</v>
      </c>
      <c r="R4" s="77" t="s">
        <v>7</v>
      </c>
      <c r="S4" s="77" t="s">
        <v>9</v>
      </c>
      <c r="T4" s="77" t="s">
        <v>9</v>
      </c>
      <c r="U4" s="77" t="s">
        <v>8</v>
      </c>
      <c r="V4" s="77" t="s">
        <v>10</v>
      </c>
      <c r="W4" s="77" t="s">
        <v>11</v>
      </c>
      <c r="X4" s="77" t="s">
        <v>12</v>
      </c>
      <c r="Y4" s="77" t="s">
        <v>13</v>
      </c>
      <c r="Z4" s="77" t="s">
        <v>5</v>
      </c>
      <c r="AA4" s="77" t="s">
        <v>6</v>
      </c>
    </row>
    <row r="5" spans="1:37" s="34" customFormat="1"/>
    <row r="6" spans="1:37" s="34" customFormat="1"/>
    <row r="7" spans="1:37" ht="12.75" customHeight="1">
      <c r="B7" s="184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84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69</v>
      </c>
      <c r="F9" s="35"/>
      <c r="G9" s="35"/>
    </row>
    <row r="10" spans="1:37">
      <c r="B10" s="184"/>
      <c r="F10" s="35"/>
      <c r="G10" s="35"/>
    </row>
    <row r="11" spans="1:37" s="34" customFormat="1">
      <c r="B11" s="184"/>
      <c r="F11" s="35"/>
      <c r="G11" s="35"/>
    </row>
    <row r="12" spans="1:37">
      <c r="B12" s="184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topLeftCell="A124" zoomScale="85" zoomScaleNormal="85" workbookViewId="0">
      <selection activeCell="P167" sqref="D167:P167"/>
    </sheetView>
  </sheetViews>
  <sheetFormatPr baseColWidth="10" defaultRowHeight="12.75"/>
  <cols>
    <col min="1" max="1" width="2.85546875" style="108" customWidth="1"/>
    <col min="2" max="2" width="27.5703125" style="108" customWidth="1"/>
    <col min="3" max="16" width="11.42578125" style="108"/>
    <col min="17" max="17" width="15" style="108" customWidth="1"/>
    <col min="18" max="16384" width="11.42578125" style="108"/>
  </cols>
  <sheetData>
    <row r="2" spans="2:5">
      <c r="B2" s="170" t="s">
        <v>137</v>
      </c>
      <c r="C2" s="171"/>
      <c r="D2" s="171"/>
      <c r="E2" s="171"/>
    </row>
    <row r="3" spans="2:5">
      <c r="B3" s="101" t="s">
        <v>43</v>
      </c>
      <c r="C3" s="101" t="s">
        <v>46</v>
      </c>
      <c r="D3" s="101"/>
      <c r="E3" s="101" t="s">
        <v>15</v>
      </c>
    </row>
    <row r="4" spans="2:5">
      <c r="B4" s="101"/>
      <c r="C4" s="101" t="s">
        <v>47</v>
      </c>
      <c r="D4" s="101" t="s">
        <v>48</v>
      </c>
      <c r="E4" s="101"/>
    </row>
    <row r="5" spans="2:5">
      <c r="B5" s="101" t="s">
        <v>155</v>
      </c>
      <c r="C5" s="101">
        <v>79.11</v>
      </c>
      <c r="D5" s="101">
        <v>53.9</v>
      </c>
      <c r="E5" s="164">
        <v>70.082156859400001</v>
      </c>
    </row>
    <row r="6" spans="2:5">
      <c r="B6" s="101" t="s">
        <v>156</v>
      </c>
      <c r="C6" s="101">
        <v>61.23</v>
      </c>
      <c r="D6" s="101">
        <v>31.05</v>
      </c>
      <c r="E6" s="164">
        <v>50.153008597400003</v>
      </c>
    </row>
    <row r="7" spans="2:5">
      <c r="B7" s="101" t="s">
        <v>157</v>
      </c>
      <c r="C7" s="101">
        <v>60</v>
      </c>
      <c r="D7" s="101">
        <v>32.49</v>
      </c>
      <c r="E7" s="164">
        <v>48.883592502299997</v>
      </c>
    </row>
    <row r="8" spans="2:5">
      <c r="B8" s="101" t="s">
        <v>158</v>
      </c>
      <c r="C8" s="101">
        <v>61.23</v>
      </c>
      <c r="D8" s="101">
        <v>31.89</v>
      </c>
      <c r="E8" s="164">
        <v>44.820412226000002</v>
      </c>
    </row>
    <row r="9" spans="2:5">
      <c r="B9" s="101" t="s">
        <v>159</v>
      </c>
      <c r="C9" s="101">
        <v>60.07</v>
      </c>
      <c r="D9" s="101">
        <v>8</v>
      </c>
      <c r="E9" s="164">
        <v>29.908849820299999</v>
      </c>
    </row>
    <row r="10" spans="2:5">
      <c r="B10" s="101" t="s">
        <v>160</v>
      </c>
      <c r="C10" s="101">
        <v>64.69</v>
      </c>
      <c r="D10" s="101">
        <v>30.4</v>
      </c>
      <c r="E10" s="164">
        <v>50.546263565399997</v>
      </c>
    </row>
    <row r="11" spans="2:5">
      <c r="B11" s="101" t="s">
        <v>161</v>
      </c>
      <c r="C11" s="101">
        <v>69.010000000000005</v>
      </c>
      <c r="D11" s="101">
        <v>39.950000000000003</v>
      </c>
      <c r="E11" s="164">
        <v>56.413077319599999</v>
      </c>
    </row>
    <row r="12" spans="2:5">
      <c r="B12" s="101" t="s">
        <v>162</v>
      </c>
      <c r="C12" s="101">
        <v>72.599999999999994</v>
      </c>
      <c r="D12" s="101">
        <v>36.01</v>
      </c>
      <c r="E12" s="164">
        <v>56.314025092100003</v>
      </c>
    </row>
    <row r="13" spans="2:5">
      <c r="B13" s="101" t="s">
        <v>163</v>
      </c>
      <c r="C13" s="101">
        <v>75.010000000000005</v>
      </c>
      <c r="D13" s="101">
        <v>42.64</v>
      </c>
      <c r="E13" s="164">
        <v>62.331408281100003</v>
      </c>
    </row>
    <row r="14" spans="2:5">
      <c r="B14" s="101" t="s">
        <v>164</v>
      </c>
      <c r="C14" s="101">
        <v>77.52</v>
      </c>
      <c r="D14" s="101">
        <v>45.6</v>
      </c>
      <c r="E14" s="164">
        <v>65.7054962932</v>
      </c>
    </row>
    <row r="15" spans="2:5">
      <c r="B15" s="101" t="s">
        <v>165</v>
      </c>
      <c r="C15" s="101">
        <v>64.36</v>
      </c>
      <c r="D15" s="101">
        <v>44.86</v>
      </c>
      <c r="E15" s="164">
        <v>54.438228482500001</v>
      </c>
    </row>
    <row r="16" spans="2:5">
      <c r="B16" s="101" t="s">
        <v>166</v>
      </c>
      <c r="C16" s="101">
        <v>50.6</v>
      </c>
      <c r="D16" s="101">
        <v>32.19</v>
      </c>
      <c r="E16" s="164">
        <v>42.880532232999997</v>
      </c>
    </row>
    <row r="17" spans="2:5">
      <c r="B17" s="101" t="s">
        <v>167</v>
      </c>
      <c r="C17" s="101">
        <v>68.23</v>
      </c>
      <c r="D17" s="101">
        <v>29.85</v>
      </c>
      <c r="E17" s="164">
        <v>52.3560484594</v>
      </c>
    </row>
    <row r="18" spans="2:5">
      <c r="B18" s="101" t="s">
        <v>168</v>
      </c>
      <c r="C18" s="101">
        <v>68.08</v>
      </c>
      <c r="D18" s="101">
        <v>39.33</v>
      </c>
      <c r="E18" s="164">
        <v>57.301877941599997</v>
      </c>
    </row>
    <row r="19" spans="2:5">
      <c r="B19" s="101" t="s">
        <v>169</v>
      </c>
      <c r="C19" s="101">
        <v>67.53</v>
      </c>
      <c r="D19" s="101">
        <v>42.39</v>
      </c>
      <c r="E19" s="164">
        <v>57.7374634711</v>
      </c>
    </row>
    <row r="20" spans="2:5">
      <c r="B20" s="101" t="s">
        <v>170</v>
      </c>
      <c r="C20" s="101">
        <v>69.62</v>
      </c>
      <c r="D20" s="101">
        <v>41.73</v>
      </c>
      <c r="E20" s="164">
        <v>58.341866336300001</v>
      </c>
    </row>
    <row r="21" spans="2:5">
      <c r="B21" s="101" t="s">
        <v>171</v>
      </c>
      <c r="C21" s="101">
        <v>66.77</v>
      </c>
      <c r="D21" s="101">
        <v>45.13</v>
      </c>
      <c r="E21" s="164">
        <v>60.317972474900003</v>
      </c>
    </row>
    <row r="22" spans="2:5">
      <c r="B22" s="101" t="s">
        <v>172</v>
      </c>
      <c r="C22" s="101">
        <v>61.94</v>
      </c>
      <c r="D22" s="101">
        <v>44.64</v>
      </c>
      <c r="E22" s="164">
        <v>54.536174294200002</v>
      </c>
    </row>
    <row r="23" spans="2:5">
      <c r="B23" s="101" t="s">
        <v>173</v>
      </c>
      <c r="C23" s="101">
        <v>62.49</v>
      </c>
      <c r="D23" s="101">
        <v>38.39</v>
      </c>
      <c r="E23" s="164">
        <v>46.841557076800001</v>
      </c>
    </row>
    <row r="24" spans="2:5">
      <c r="B24" s="101" t="s">
        <v>174</v>
      </c>
      <c r="C24" s="101">
        <v>66.260000000000005</v>
      </c>
      <c r="D24" s="101">
        <v>36.4</v>
      </c>
      <c r="E24" s="164">
        <v>54.150533016700003</v>
      </c>
    </row>
    <row r="25" spans="2:5">
      <c r="B25" s="101" t="s">
        <v>175</v>
      </c>
      <c r="C25" s="101">
        <v>61.23</v>
      </c>
      <c r="D25" s="101">
        <v>34.99</v>
      </c>
      <c r="E25" s="164">
        <v>52.443654559499997</v>
      </c>
    </row>
    <row r="26" spans="2:5">
      <c r="B26" s="101" t="s">
        <v>176</v>
      </c>
      <c r="C26" s="101">
        <v>65.25</v>
      </c>
      <c r="D26" s="101">
        <v>39.64</v>
      </c>
      <c r="E26" s="164">
        <v>53.254345692800001</v>
      </c>
    </row>
    <row r="27" spans="2:5">
      <c r="B27" s="101" t="s">
        <v>177</v>
      </c>
      <c r="C27" s="101">
        <v>59.6</v>
      </c>
      <c r="D27" s="101">
        <v>45.13</v>
      </c>
      <c r="E27" s="164">
        <v>55.593463766699998</v>
      </c>
    </row>
    <row r="28" spans="2:5">
      <c r="B28" s="101" t="s">
        <v>178</v>
      </c>
      <c r="C28" s="101">
        <v>58.57</v>
      </c>
      <c r="D28" s="101">
        <v>38.01</v>
      </c>
      <c r="E28" s="164">
        <v>51.176204450100002</v>
      </c>
    </row>
    <row r="29" spans="2:5">
      <c r="B29" s="101" t="s">
        <v>179</v>
      </c>
      <c r="C29" s="101">
        <v>58.19</v>
      </c>
      <c r="D29" s="101">
        <v>41.5</v>
      </c>
      <c r="E29" s="164">
        <v>50.522433849199999</v>
      </c>
    </row>
    <row r="30" spans="2:5">
      <c r="B30" s="101" t="s">
        <v>180</v>
      </c>
      <c r="C30" s="101">
        <v>56.77</v>
      </c>
      <c r="D30" s="101">
        <v>41.69</v>
      </c>
      <c r="E30" s="164">
        <v>48.297878061200002</v>
      </c>
    </row>
    <row r="31" spans="2:5">
      <c r="B31" s="101" t="s">
        <v>181</v>
      </c>
      <c r="C31" s="101">
        <v>53.1</v>
      </c>
      <c r="D31" s="101">
        <v>34.92</v>
      </c>
      <c r="E31" s="164">
        <v>44.868738164</v>
      </c>
    </row>
    <row r="32" spans="2:5">
      <c r="B32" s="101" t="s">
        <v>182</v>
      </c>
      <c r="C32" s="101">
        <v>53.15</v>
      </c>
      <c r="D32" s="101">
        <v>21.07</v>
      </c>
      <c r="E32" s="164">
        <v>40.441033458900002</v>
      </c>
    </row>
    <row r="33" spans="1:10">
      <c r="B33" s="101" t="s">
        <v>183</v>
      </c>
      <c r="C33" s="101" t="s">
        <v>184</v>
      </c>
      <c r="D33" s="101" t="s">
        <v>184</v>
      </c>
      <c r="E33" s="164">
        <v>52.844745037099997</v>
      </c>
    </row>
    <row r="34" spans="1:10">
      <c r="B34" s="101"/>
      <c r="C34" s="101"/>
      <c r="D34" s="101"/>
      <c r="E34" s="164"/>
    </row>
    <row r="35" spans="1:10">
      <c r="B35" s="101"/>
      <c r="C35" s="101"/>
      <c r="D35" s="101"/>
      <c r="E35" s="164"/>
    </row>
    <row r="36" spans="1:10">
      <c r="B36" s="101"/>
      <c r="C36" s="101"/>
      <c r="D36" s="101"/>
      <c r="E36" s="164"/>
    </row>
    <row r="37" spans="1:10">
      <c r="B37" s="101"/>
      <c r="C37" s="101"/>
      <c r="D37" s="101"/>
      <c r="E37" s="164"/>
    </row>
    <row r="38" spans="1:10">
      <c r="B38" s="101"/>
      <c r="C38" s="101"/>
      <c r="D38" s="101"/>
      <c r="E38" s="164"/>
    </row>
    <row r="39" spans="1:10">
      <c r="B39" s="101"/>
      <c r="C39" s="101"/>
      <c r="D39" s="101" t="s">
        <v>242</v>
      </c>
      <c r="E39" s="164">
        <v>51.74</v>
      </c>
      <c r="F39" s="178">
        <v>27.5</v>
      </c>
      <c r="G39" s="179">
        <f>(E39/F39-1)</f>
        <v>0.88145454545454549</v>
      </c>
    </row>
    <row r="40" spans="1:10">
      <c r="B40" s="101"/>
      <c r="C40" s="101"/>
      <c r="D40" s="101"/>
      <c r="E40" s="101"/>
    </row>
    <row r="41" spans="1:10">
      <c r="B41" s="125"/>
    </row>
    <row r="42" spans="1:10">
      <c r="B42" s="169" t="s">
        <v>138</v>
      </c>
    </row>
    <row r="43" spans="1:10">
      <c r="B43" s="16"/>
      <c r="C43" s="187" t="s">
        <v>22</v>
      </c>
      <c r="D43" s="187" t="s">
        <v>50</v>
      </c>
      <c r="E43" s="187" t="s">
        <v>51</v>
      </c>
      <c r="F43" s="187" t="s">
        <v>52</v>
      </c>
      <c r="G43" s="187" t="s">
        <v>26</v>
      </c>
      <c r="H43" s="187" t="s">
        <v>53</v>
      </c>
      <c r="I43" s="187" t="s">
        <v>54</v>
      </c>
      <c r="J43" s="187" t="s">
        <v>55</v>
      </c>
    </row>
    <row r="44" spans="1:10">
      <c r="B44" s="17"/>
      <c r="C44" s="188"/>
      <c r="D44" s="188"/>
      <c r="E44" s="188"/>
      <c r="F44" s="188"/>
      <c r="G44" s="188"/>
      <c r="H44" s="188"/>
      <c r="I44" s="188"/>
      <c r="J44" s="188"/>
    </row>
    <row r="45" spans="1:10">
      <c r="A45" s="108" t="s">
        <v>6</v>
      </c>
      <c r="B45" s="18" t="s">
        <v>186</v>
      </c>
      <c r="C45" s="54">
        <v>29.142720306513411</v>
      </c>
      <c r="D45" s="54">
        <v>15.445402298850574</v>
      </c>
      <c r="E45" s="54">
        <v>0</v>
      </c>
      <c r="F45" s="54">
        <v>0.14367816091954022</v>
      </c>
      <c r="G45" s="54">
        <v>1.6522988505747123</v>
      </c>
      <c r="H45" s="54">
        <v>17.456896551724139</v>
      </c>
      <c r="I45" s="55">
        <v>0</v>
      </c>
      <c r="J45" s="59">
        <v>36.159003831417621</v>
      </c>
    </row>
    <row r="46" spans="1:10">
      <c r="A46" s="108" t="s">
        <v>7</v>
      </c>
      <c r="B46" s="18" t="s">
        <v>187</v>
      </c>
      <c r="C46" s="54">
        <v>43.775235531628539</v>
      </c>
      <c r="D46" s="54">
        <v>15.197397936294301</v>
      </c>
      <c r="E46" s="54">
        <v>0</v>
      </c>
      <c r="F46" s="54">
        <v>0</v>
      </c>
      <c r="G46" s="54">
        <v>1.4692687303723644</v>
      </c>
      <c r="H46" s="54">
        <v>12.090623598026019</v>
      </c>
      <c r="I46" s="55">
        <v>0</v>
      </c>
      <c r="J46" s="59">
        <v>27.467474203678773</v>
      </c>
    </row>
    <row r="47" spans="1:10">
      <c r="A47" s="108" t="s">
        <v>8</v>
      </c>
      <c r="B47" s="18" t="s">
        <v>188</v>
      </c>
      <c r="C47" s="54">
        <v>38.090277777777786</v>
      </c>
      <c r="D47" s="54">
        <v>20.729166666666668</v>
      </c>
      <c r="E47" s="54">
        <v>0</v>
      </c>
      <c r="F47" s="54">
        <v>0.27777777777777779</v>
      </c>
      <c r="G47" s="54">
        <v>2.0254629629629628</v>
      </c>
      <c r="H47" s="54">
        <v>7.7083333333333339</v>
      </c>
      <c r="I47" s="55">
        <v>0</v>
      </c>
      <c r="J47" s="59">
        <v>31.168981481481477</v>
      </c>
    </row>
    <row r="48" spans="1:10">
      <c r="A48" s="108" t="s">
        <v>7</v>
      </c>
      <c r="B48" s="18" t="s">
        <v>189</v>
      </c>
      <c r="C48" s="54">
        <v>34.117383512544805</v>
      </c>
      <c r="D48" s="54">
        <v>22.647849462365592</v>
      </c>
      <c r="E48" s="54">
        <v>0</v>
      </c>
      <c r="F48" s="54">
        <v>0.53763440860215062</v>
      </c>
      <c r="G48" s="54">
        <v>1.2320788530465949</v>
      </c>
      <c r="H48" s="54">
        <v>5.6451612903225801</v>
      </c>
      <c r="I48" s="55">
        <v>0</v>
      </c>
      <c r="J48" s="59">
        <v>35.81989247311828</v>
      </c>
    </row>
    <row r="49" spans="1:13">
      <c r="A49" s="108" t="s">
        <v>9</v>
      </c>
      <c r="B49" s="18" t="s">
        <v>190</v>
      </c>
      <c r="C49" s="54">
        <v>37.754629629629633</v>
      </c>
      <c r="D49" s="54">
        <v>12.592592592592593</v>
      </c>
      <c r="E49" s="54">
        <v>0</v>
      </c>
      <c r="F49" s="54">
        <v>0</v>
      </c>
      <c r="G49" s="54">
        <v>6.7592592592592595</v>
      </c>
      <c r="H49" s="54">
        <v>17.314814814814817</v>
      </c>
      <c r="I49" s="55">
        <v>0</v>
      </c>
      <c r="J49" s="59">
        <v>25.578703703703699</v>
      </c>
    </row>
    <row r="50" spans="1:13">
      <c r="A50" s="108" t="s">
        <v>9</v>
      </c>
      <c r="B50" s="18" t="s">
        <v>191</v>
      </c>
      <c r="C50" s="54">
        <v>29.950716845878134</v>
      </c>
      <c r="D50" s="54">
        <v>6.2275985663082425</v>
      </c>
      <c r="E50" s="54">
        <v>0</v>
      </c>
      <c r="F50" s="54">
        <v>0</v>
      </c>
      <c r="G50" s="54">
        <v>15.636200716845877</v>
      </c>
      <c r="H50" s="54">
        <v>26.478494623655912</v>
      </c>
      <c r="I50" s="55">
        <v>0</v>
      </c>
      <c r="J50" s="59">
        <v>21.706989247311832</v>
      </c>
    </row>
    <row r="51" spans="1:13">
      <c r="A51" s="108" t="s">
        <v>8</v>
      </c>
      <c r="B51" s="18" t="s">
        <v>192</v>
      </c>
      <c r="C51" s="54">
        <v>33.590949820788524</v>
      </c>
      <c r="D51" s="54">
        <v>5.5891577060931903</v>
      </c>
      <c r="E51" s="54">
        <v>0</v>
      </c>
      <c r="F51" s="54">
        <v>0</v>
      </c>
      <c r="G51" s="54">
        <v>12.26478494623656</v>
      </c>
      <c r="H51" s="54">
        <v>24.596774193548391</v>
      </c>
      <c r="I51" s="55">
        <v>0</v>
      </c>
      <c r="J51" s="59">
        <v>23.958333333333336</v>
      </c>
    </row>
    <row r="52" spans="1:13">
      <c r="A52" s="108" t="s">
        <v>10</v>
      </c>
      <c r="B52" s="18" t="s">
        <v>193</v>
      </c>
      <c r="C52" s="54">
        <v>42.210648148148145</v>
      </c>
      <c r="D52" s="54">
        <v>5.9027777777777777</v>
      </c>
      <c r="E52" s="54">
        <v>0</v>
      </c>
      <c r="F52" s="54">
        <v>0</v>
      </c>
      <c r="G52" s="54">
        <v>8.3912037037037042</v>
      </c>
      <c r="H52" s="54">
        <v>23.541666666666671</v>
      </c>
      <c r="I52" s="55">
        <v>0</v>
      </c>
      <c r="J52" s="59">
        <v>19.953703703703702</v>
      </c>
    </row>
    <row r="53" spans="1:13">
      <c r="A53" s="108" t="s">
        <v>11</v>
      </c>
      <c r="B53" s="18" t="s">
        <v>194</v>
      </c>
      <c r="C53" s="54">
        <v>41.55465949820789</v>
      </c>
      <c r="D53" s="54">
        <v>7.5716845878136194</v>
      </c>
      <c r="E53" s="54">
        <v>0</v>
      </c>
      <c r="F53" s="54">
        <v>0</v>
      </c>
      <c r="G53" s="54">
        <v>8.4677419354838701</v>
      </c>
      <c r="H53" s="54">
        <v>22.468637992831539</v>
      </c>
      <c r="I53" s="55">
        <v>0</v>
      </c>
      <c r="J53" s="59">
        <v>19.937275985663085</v>
      </c>
    </row>
    <row r="54" spans="1:13">
      <c r="A54" s="108" t="s">
        <v>12</v>
      </c>
      <c r="B54" s="18" t="s">
        <v>195</v>
      </c>
      <c r="C54" s="54">
        <v>31.087962962962962</v>
      </c>
      <c r="D54" s="54">
        <v>9.2592592592592613</v>
      </c>
      <c r="E54" s="54">
        <v>0</v>
      </c>
      <c r="F54" s="54">
        <v>0</v>
      </c>
      <c r="G54" s="54">
        <v>13.495370370370372</v>
      </c>
      <c r="H54" s="54">
        <v>27.361111111111114</v>
      </c>
      <c r="I54" s="55">
        <v>0</v>
      </c>
      <c r="J54" s="59">
        <v>18.796296296296294</v>
      </c>
    </row>
    <row r="55" spans="1:13">
      <c r="A55" s="108" t="s">
        <v>13</v>
      </c>
      <c r="B55" s="18" t="s">
        <v>196</v>
      </c>
      <c r="C55" s="54">
        <v>36.178315412186372</v>
      </c>
      <c r="D55" s="54">
        <v>9.408602150537634</v>
      </c>
      <c r="E55" s="54">
        <v>0</v>
      </c>
      <c r="F55" s="54">
        <v>0</v>
      </c>
      <c r="G55" s="54">
        <v>12.522401433691757</v>
      </c>
      <c r="H55" s="54">
        <v>24.193548387096776</v>
      </c>
      <c r="I55" s="55">
        <v>0</v>
      </c>
      <c r="J55" s="59">
        <v>17.697132616487458</v>
      </c>
    </row>
    <row r="56" spans="1:13">
      <c r="A56" s="108" t="s">
        <v>5</v>
      </c>
      <c r="B56" s="18" t="s">
        <v>197</v>
      </c>
      <c r="C56" s="54">
        <v>43.929211469534053</v>
      </c>
      <c r="D56" s="54">
        <v>7.3028673835125444</v>
      </c>
      <c r="E56" s="54">
        <v>0</v>
      </c>
      <c r="F56" s="54">
        <v>0</v>
      </c>
      <c r="G56" s="54">
        <v>12.253584229390679</v>
      </c>
      <c r="H56" s="54">
        <v>16.50985663082437</v>
      </c>
      <c r="I56" s="55">
        <v>0</v>
      </c>
      <c r="J56" s="59">
        <v>20.004480286738353</v>
      </c>
    </row>
    <row r="57" spans="1:13">
      <c r="A57" s="108" t="s">
        <v>6</v>
      </c>
      <c r="B57" s="56" t="s">
        <v>198</v>
      </c>
      <c r="C57" s="57">
        <v>33.382936507936506</v>
      </c>
      <c r="D57" s="57">
        <v>13.640873015873014</v>
      </c>
      <c r="E57" s="57">
        <v>0</v>
      </c>
      <c r="F57" s="57">
        <v>0.29761904761904762</v>
      </c>
      <c r="G57" s="57">
        <v>6.820436507936507</v>
      </c>
      <c r="H57" s="57">
        <v>23.883928571428573</v>
      </c>
      <c r="I57" s="58">
        <v>0</v>
      </c>
      <c r="J57" s="60">
        <v>21.974206349206348</v>
      </c>
    </row>
    <row r="59" spans="1:13">
      <c r="B59" s="169" t="s">
        <v>139</v>
      </c>
    </row>
    <row r="60" spans="1:13">
      <c r="B60" s="16"/>
      <c r="C60" s="189" t="s">
        <v>1</v>
      </c>
      <c r="D60" s="189" t="s">
        <v>2</v>
      </c>
      <c r="E60" s="189" t="s">
        <v>30</v>
      </c>
      <c r="F60" s="189" t="s">
        <v>19</v>
      </c>
      <c r="G60" s="189" t="s">
        <v>20</v>
      </c>
      <c r="H60" s="189" t="s">
        <v>29</v>
      </c>
      <c r="I60" s="189" t="s">
        <v>31</v>
      </c>
      <c r="J60" s="189" t="s">
        <v>35</v>
      </c>
      <c r="K60" s="126"/>
      <c r="L60" s="126"/>
    </row>
    <row r="61" spans="1:13">
      <c r="B61" s="17"/>
      <c r="C61" s="190"/>
      <c r="D61" s="190"/>
      <c r="E61" s="190"/>
      <c r="F61" s="190"/>
      <c r="G61" s="190"/>
      <c r="H61" s="190"/>
      <c r="I61" s="190"/>
      <c r="J61" s="190"/>
      <c r="K61" s="126"/>
      <c r="L61" s="126"/>
    </row>
    <row r="62" spans="1:13">
      <c r="B62" s="18" t="str">
        <f>MID('Data 1'!R83,6,3)&amp; "-" &amp;MID('Data 1'!R83,3,2)</f>
        <v>Feb-16</v>
      </c>
      <c r="C62" s="165">
        <f>VLOOKUP("Mercado Diario",'Data 1'!Q86:AE102,2,FALSE)</f>
        <v>28.8</v>
      </c>
      <c r="D62" s="165">
        <f>VLOOKUP("Mercado Intradiario",'Data 1'!Q86:AE102,2,FALSE)</f>
        <v>-0.03</v>
      </c>
      <c r="E62" s="165">
        <f t="shared" ref="E62:E74" si="0">SUM(C62:D62)</f>
        <v>28.77</v>
      </c>
      <c r="F62" s="165">
        <f>'Data 1'!C89</f>
        <v>4.2</v>
      </c>
      <c r="G62" s="165">
        <f>VLOOKUP("Pago capacidad",'Data 1'!Q86:AE102,2,FALSE)</f>
        <v>3.22</v>
      </c>
      <c r="H62" s="165">
        <f>VLOOKUP("Servicio interrumpibilidad",'Data 1'!Q86:AE102,2,FALSE)</f>
        <v>1.93</v>
      </c>
      <c r="I62" s="165">
        <f t="shared" ref="I62:I73" si="1">SUM(E62:H62)</f>
        <v>38.119999999999997</v>
      </c>
      <c r="J62" s="85">
        <f>VLOOKUP("Energía final MWh",'Data 1'!Q84:AE102,2,FALSE)/1000</f>
        <v>20776.593364</v>
      </c>
      <c r="K62" s="172">
        <f>E62+F62+G62+H62-VLOOKUP("Coste medio final (€/MWh)",'Data 1'!Q86:AE102,2,FALSE)</f>
        <v>0</v>
      </c>
      <c r="L62" s="63"/>
      <c r="M62" s="173"/>
    </row>
    <row r="63" spans="1:13">
      <c r="B63" s="18" t="str">
        <f>MID('Data 1'!S83,6,3)&amp; "-" &amp;MID('Data 1'!S83,3,2)</f>
        <v>Mar-16</v>
      </c>
      <c r="C63" s="165">
        <f>VLOOKUP("Mercado Diario",'Data 1'!Q86:AE102,3,FALSE)</f>
        <v>28.65</v>
      </c>
      <c r="D63" s="165">
        <f>VLOOKUP("Mercado Intradiario",'Data 1'!Q86:AE102,3,FALSE)</f>
        <v>0</v>
      </c>
      <c r="E63" s="165">
        <f t="shared" si="0"/>
        <v>28.65</v>
      </c>
      <c r="F63" s="165">
        <f>'Data 1'!D89</f>
        <v>4.54</v>
      </c>
      <c r="G63" s="165">
        <f>VLOOKUP("Pago capacidad",'Data 1'!Q86:AE102,3,FALSE)</f>
        <v>2.63</v>
      </c>
      <c r="H63" s="165">
        <f>VLOOKUP("Servicio interrumpibilidad",'Data 1'!Q86:AE102,3,FALSE)</f>
        <v>1.87</v>
      </c>
      <c r="I63" s="165">
        <f t="shared" si="1"/>
        <v>37.69</v>
      </c>
      <c r="J63" s="85">
        <f>VLOOKUP("Energía final MWh",'Data 1'!Q84:AE102,3,FALSE)/1000</f>
        <v>21402.936888999997</v>
      </c>
      <c r="K63" s="172">
        <f>E63+F63+G63+H63-VLOOKUP("Coste medio final (€/MWh)",'Data 1'!Q86:AE102,3,FALSE)</f>
        <v>0</v>
      </c>
      <c r="L63" s="63"/>
      <c r="M63" s="173"/>
    </row>
    <row r="64" spans="1:13">
      <c r="B64" s="18" t="str">
        <f>MID('Data 1'!T83,6,3)&amp; "-" &amp;MID('Data 1'!T83,3,2)</f>
        <v>Abr-16</v>
      </c>
      <c r="C64" s="165">
        <f>VLOOKUP("Mercado Diario",'Data 1'!Q86:AE102,4,FALSE)</f>
        <v>24.86</v>
      </c>
      <c r="D64" s="165">
        <f>VLOOKUP("Mercado Intradiario",'Data 1'!Q86:AE102,4,FALSE)</f>
        <v>0</v>
      </c>
      <c r="E64" s="165">
        <f t="shared" si="0"/>
        <v>24.86</v>
      </c>
      <c r="F64" s="165">
        <f>'Data 1'!E89</f>
        <v>4.07</v>
      </c>
      <c r="G64" s="165">
        <f>VLOOKUP("Pago capacidad",'Data 1'!Q86:AE102,4,FALSE)</f>
        <v>2.48</v>
      </c>
      <c r="H64" s="165">
        <f>VLOOKUP("Servicio interrumpibilidad",'Data 1'!Q86:AE102,4,FALSE)</f>
        <v>2.02</v>
      </c>
      <c r="I64" s="165">
        <f t="shared" si="1"/>
        <v>33.43</v>
      </c>
      <c r="J64" s="85">
        <f>VLOOKUP("Energía final MWh",'Data 1'!Q84:AE102,4,FALSE)/1000</f>
        <v>19869.083243000001</v>
      </c>
      <c r="K64" s="172">
        <f>E64+F64+G64+H64-VLOOKUP("Coste medio final (€/MWh)",'Data 1'!Q86:AE102,4,FALSE)</f>
        <v>0</v>
      </c>
      <c r="L64" s="63"/>
      <c r="M64" s="173"/>
    </row>
    <row r="65" spans="2:32">
      <c r="B65" s="18" t="str">
        <f>MID('Data 1'!U83,6,3)&amp; "-" &amp;MID('Data 1'!U83,3,2)</f>
        <v>May-16</v>
      </c>
      <c r="C65" s="165">
        <f>VLOOKUP("Mercado Diario",'Data 1'!Q86:AE102,5,FALSE)</f>
        <v>26.74</v>
      </c>
      <c r="D65" s="165">
        <f>VLOOKUP("Mercado Intradiario",'Data 1'!Q86:AE102,5,FALSE)</f>
        <v>0</v>
      </c>
      <c r="E65" s="165">
        <f t="shared" si="0"/>
        <v>26.74</v>
      </c>
      <c r="F65" s="165">
        <f>'Data 1'!F89</f>
        <v>4.37</v>
      </c>
      <c r="G65" s="165">
        <f>VLOOKUP("Pago capacidad",'Data 1'!Q86:AE102,5,FALSE)</f>
        <v>2.4300000000000002</v>
      </c>
      <c r="H65" s="165">
        <f>VLOOKUP("Servicio interrumpibilidad",'Data 1'!Q86:AE102,5,FALSE)</f>
        <v>2.0299999999999998</v>
      </c>
      <c r="I65" s="165">
        <f t="shared" si="1"/>
        <v>35.57</v>
      </c>
      <c r="J65" s="85">
        <f>VLOOKUP("Energía final MWh",'Data 1'!Q84:AE102,5,FALSE)/1000</f>
        <v>19666.148055000001</v>
      </c>
      <c r="K65" s="172">
        <f>E65+F65+G65+H65-VLOOKUP("Coste medio final (€/MWh)",'Data 1'!Q86:AE102,5,FALSE)</f>
        <v>0</v>
      </c>
      <c r="L65" s="63"/>
      <c r="M65" s="173"/>
    </row>
    <row r="66" spans="2:32">
      <c r="B66" s="18" t="str">
        <f>MID('Data 1'!V83,6,3)&amp; "-" &amp;MID('Data 1'!V83,3,2)</f>
        <v>Jun-16</v>
      </c>
      <c r="C66" s="165">
        <f>VLOOKUP("Mercado Diario",'Data 1'!Q86:AE102,6,FALSE)</f>
        <v>39.29</v>
      </c>
      <c r="D66" s="165">
        <f>VLOOKUP("Mercado Intradiario",'Data 1'!Q86:AE102,6,FALSE)</f>
        <v>0.01</v>
      </c>
      <c r="E66" s="165">
        <f t="shared" si="0"/>
        <v>39.299999999999997</v>
      </c>
      <c r="F66" s="165">
        <f>'Data 1'!G89</f>
        <v>2.5100000000000002</v>
      </c>
      <c r="G66" s="165">
        <f>VLOOKUP("Pago capacidad",'Data 1'!Q86:AE102,6,FALSE)</f>
        <v>2.89</v>
      </c>
      <c r="H66" s="165">
        <f>VLOOKUP("Servicio interrumpibilidad",'Data 1'!Q86:AE102,6,FALSE)</f>
        <v>2</v>
      </c>
      <c r="I66" s="165">
        <f t="shared" si="1"/>
        <v>46.699999999999996</v>
      </c>
      <c r="J66" s="85">
        <f>VLOOKUP("Energía final MWh",'Data 1'!Q84:AE102,6,FALSE)/1000</f>
        <v>20177.555263999999</v>
      </c>
      <c r="K66" s="172">
        <f>E66+F66+G66+H66-VLOOKUP("Coste medio final (€/MWh)",'Data 1'!Q86:AE102,6,FALSE)</f>
        <v>0</v>
      </c>
      <c r="L66" s="63"/>
      <c r="M66" s="173"/>
    </row>
    <row r="67" spans="2:32">
      <c r="B67" s="18" t="str">
        <f>MID('Data 1'!W83,6,3)&amp; "-" &amp;MID('Data 1'!W83,3,2)</f>
        <v>Jul-16</v>
      </c>
      <c r="C67" s="165">
        <f>VLOOKUP("Mercado Diario",'Data 1'!Q86:AE102,7,FALSE)</f>
        <v>41.07</v>
      </c>
      <c r="D67" s="165">
        <f>VLOOKUP("Mercado Intradiario",'Data 1'!Q86:AE102,7,FALSE)</f>
        <v>-0.01</v>
      </c>
      <c r="E67" s="165">
        <f t="shared" si="0"/>
        <v>41.06</v>
      </c>
      <c r="F67" s="165">
        <f>'Data 1'!H89</f>
        <v>2.0299999999999998</v>
      </c>
      <c r="G67" s="165">
        <f>VLOOKUP("Pago capacidad",'Data 1'!Q86:AE102,7,FALSE)</f>
        <v>3.26</v>
      </c>
      <c r="H67" s="165">
        <f>VLOOKUP("Servicio interrumpibilidad",'Data 1'!Q86:AE102,7,FALSE)</f>
        <v>1.82</v>
      </c>
      <c r="I67" s="165">
        <f t="shared" si="1"/>
        <v>48.17</v>
      </c>
      <c r="J67" s="85">
        <f>VLOOKUP("Energía final MWh",'Data 1'!Q84:AE102,7,FALSE)/1000</f>
        <v>22159.669855</v>
      </c>
      <c r="K67" s="172">
        <f>E67+F67+G67+H67-VLOOKUP("Coste medio final (€/MWh)",'Data 1'!Q86:AE102,7,FALSE)</f>
        <v>0</v>
      </c>
      <c r="L67" s="63"/>
      <c r="M67" s="173"/>
    </row>
    <row r="68" spans="2:32">
      <c r="B68" s="18" t="str">
        <f>MID('Data 1'!X83,6,3)&amp; "-" &amp;MID('Data 1'!X83,3,2)</f>
        <v>Ago-16</v>
      </c>
      <c r="C68" s="165">
        <f>VLOOKUP("Mercado Diario",'Data 1'!Q86:AE102,8,FALSE)</f>
        <v>41.63</v>
      </c>
      <c r="D68" s="165">
        <f>VLOOKUP("Mercado Intradiario",'Data 1'!Q86:AE102,8,FALSE)</f>
        <v>-0.01</v>
      </c>
      <c r="E68" s="165">
        <f t="shared" si="0"/>
        <v>41.620000000000005</v>
      </c>
      <c r="F68" s="165">
        <f>'Data 1'!I89</f>
        <v>2.4100000000000006</v>
      </c>
      <c r="G68" s="165">
        <f>VLOOKUP("Pago capacidad",'Data 1'!Q86:AE102,8,FALSE)</f>
        <v>2.2000000000000002</v>
      </c>
      <c r="H68" s="165">
        <f>VLOOKUP("Servicio interrumpibilidad",'Data 1'!Q86:AE102,8,FALSE)</f>
        <v>1.89</v>
      </c>
      <c r="I68" s="165">
        <f t="shared" si="1"/>
        <v>48.120000000000012</v>
      </c>
      <c r="J68" s="85">
        <f>VLOOKUP("Energía final MWh",'Data 1'!Q84:AE102,8,FALSE)/1000</f>
        <v>21363.493558999999</v>
      </c>
      <c r="K68" s="172">
        <f>E68+F68+G68+H68-VLOOKUP("Coste medio final (€/MWh)",'Data 1'!Q86:AE102,8,FALSE)</f>
        <v>0</v>
      </c>
      <c r="L68" s="63"/>
      <c r="M68" s="173"/>
    </row>
    <row r="69" spans="2:32">
      <c r="B69" s="18" t="str">
        <f>MID('Data 1'!Y83,6,3)&amp; "-" &amp;MID('Data 1'!Y83,3,2)</f>
        <v>Sep-16</v>
      </c>
      <c r="C69" s="165">
        <f>VLOOKUP("Mercado Diario",'Data 1'!Q86:AE102,9,FALSE)</f>
        <v>44.17</v>
      </c>
      <c r="D69" s="165">
        <f>VLOOKUP("Mercado Intradiario",'Data 1'!Q86:AE102,9,FALSE)</f>
        <v>0</v>
      </c>
      <c r="E69" s="165">
        <f t="shared" si="0"/>
        <v>44.17</v>
      </c>
      <c r="F69" s="165">
        <f>'Data 1'!J89</f>
        <v>2.4600000000000004</v>
      </c>
      <c r="G69" s="165">
        <f>VLOOKUP("Pago capacidad",'Data 1'!Q86:AE102,9,FALSE)</f>
        <v>2.52</v>
      </c>
      <c r="H69" s="165">
        <f>VLOOKUP("Servicio interrumpibilidad",'Data 1'!Q86:AE102,9,FALSE)</f>
        <v>1.94</v>
      </c>
      <c r="I69" s="165">
        <f t="shared" si="1"/>
        <v>51.09</v>
      </c>
      <c r="J69" s="85">
        <f>VLOOKUP("Energía final MWh",'Data 1'!Q84:AE102,9,FALSE)/1000</f>
        <v>20744.364344999998</v>
      </c>
      <c r="K69" s="172">
        <f>E69+F69+G69+H69-VLOOKUP("Coste medio final (€/MWh)",'Data 1'!Q86:AE102,9,FALSE)</f>
        <v>0</v>
      </c>
      <c r="L69" s="63"/>
      <c r="M69" s="173"/>
    </row>
    <row r="70" spans="2:32">
      <c r="B70" s="18" t="str">
        <f>MID('Data 1'!Z83,6,3)&amp; "-" &amp;MID('Data 1'!Z83,3,2)</f>
        <v>Oct-16</v>
      </c>
      <c r="C70" s="165">
        <f>VLOOKUP("Mercado Diario",'Data 1'!Q86:AE102,10,FALSE)</f>
        <v>53.79</v>
      </c>
      <c r="D70" s="165">
        <f>VLOOKUP("Mercado Intradiario",'Data 1'!Q86:AE102,10,FALSE)</f>
        <v>-0.01</v>
      </c>
      <c r="E70" s="165">
        <f t="shared" si="0"/>
        <v>53.78</v>
      </c>
      <c r="F70" s="165">
        <f>'Data 1'!K89</f>
        <v>3</v>
      </c>
      <c r="G70" s="165">
        <f>VLOOKUP("Pago capacidad",'Data 1'!Q86:AE102,10,FALSE)</f>
        <v>2.37</v>
      </c>
      <c r="H70" s="165">
        <f>VLOOKUP("Servicio interrumpibilidad",'Data 1'!Q86:AE102,10,FALSE)</f>
        <v>2.04</v>
      </c>
      <c r="I70" s="165">
        <f t="shared" si="1"/>
        <v>61.19</v>
      </c>
      <c r="J70" s="85">
        <f>VLOOKUP("Energía final MWh",'Data 1'!Q84:AE102,10,FALSE)/1000</f>
        <v>19754.261691</v>
      </c>
      <c r="K70" s="172">
        <f>E70+F70+G70+H70-VLOOKUP("Coste medio final (€/MWh)",'Data 1'!Q86:AE102,10,FALSE)</f>
        <v>0</v>
      </c>
      <c r="L70" s="63"/>
      <c r="M70" s="173"/>
    </row>
    <row r="71" spans="2:32">
      <c r="B71" s="18" t="str">
        <f>MID('Data 1'!AA83,6,3)&amp; "-" &amp;MID('Data 1'!AA83,3,2)</f>
        <v>Nov-16</v>
      </c>
      <c r="C71" s="165">
        <f>VLOOKUP("Mercado Diario",'Data 1'!Q86:AE102,11,FALSE)</f>
        <v>57.4</v>
      </c>
      <c r="D71" s="165">
        <f>VLOOKUP("Mercado Intradiario",'Data 1'!Q86:AE102,11,FALSE)</f>
        <v>0.01</v>
      </c>
      <c r="E71" s="165">
        <f t="shared" si="0"/>
        <v>57.41</v>
      </c>
      <c r="F71" s="165">
        <f>'Data 1'!L89</f>
        <v>1.92</v>
      </c>
      <c r="G71" s="165">
        <f>VLOOKUP("Pago capacidad",'Data 1'!Q86:AE102,11,FALSE)</f>
        <v>2.59</v>
      </c>
      <c r="H71" s="165">
        <f>VLOOKUP("Servicio interrumpibilidad",'Data 1'!Q86:AE102,11,FALSE)</f>
        <v>1.99</v>
      </c>
      <c r="I71" s="165">
        <f t="shared" si="1"/>
        <v>63.910000000000004</v>
      </c>
      <c r="J71" s="85">
        <f>VLOOKUP("Energía final MWh",'Data 1'!Q84:AE102,11,FALSE)/1000</f>
        <v>20531.079983</v>
      </c>
      <c r="K71" s="172">
        <f>E71+F71+G71+H71-VLOOKUP("Coste medio final (€/MWh)",'Data 1'!Q86:AE102,11,FALSE)</f>
        <v>0</v>
      </c>
      <c r="L71" s="63"/>
      <c r="M71" s="173"/>
    </row>
    <row r="72" spans="2:32">
      <c r="B72" s="18" t="str">
        <f>MID('Data 1'!AB83,6,3)&amp; "-" &amp;MID('Data 1'!AB83,3,2)</f>
        <v>Dic-16</v>
      </c>
      <c r="C72" s="165">
        <f>VLOOKUP("Mercado Diario",'Data 1'!Q86:AE102,12,FALSE)</f>
        <v>61.86</v>
      </c>
      <c r="D72" s="165">
        <f>VLOOKUP("Mercado Intradiario",'Data 1'!Q86:AE102,12,FALSE)</f>
        <v>0.01</v>
      </c>
      <c r="E72" s="165">
        <f t="shared" si="0"/>
        <v>61.87</v>
      </c>
      <c r="F72" s="165">
        <f>'Data 1'!M89</f>
        <v>2.04</v>
      </c>
      <c r="G72" s="165">
        <f>VLOOKUP("Pago capacidad",'Data 1'!Q86:AE102,12,FALSE)</f>
        <v>3.22</v>
      </c>
      <c r="H72" s="165">
        <f>VLOOKUP("Servicio interrumpibilidad",'Data 1'!Q86:AE102,12,FALSE)</f>
        <v>1.93</v>
      </c>
      <c r="I72" s="165">
        <f t="shared" si="1"/>
        <v>69.06</v>
      </c>
      <c r="J72" s="85">
        <f>VLOOKUP("Energía final MWh",'Data 1'!Q84:AE102,12,FALSE)/1000</f>
        <v>21242.103765</v>
      </c>
      <c r="K72" s="172">
        <f>E72+F72+G72+H72-VLOOKUP("Coste medio final (€/MWh)",'Data 1'!Q86:AE102,12,FALSE)</f>
        <v>0</v>
      </c>
      <c r="L72" s="63"/>
      <c r="M72" s="173"/>
    </row>
    <row r="73" spans="2:32">
      <c r="B73" s="18" t="str">
        <f>MID('Data 1'!AC83,6,3)&amp; "-" &amp;MID('Data 1'!AC83,3,2)</f>
        <v>Ene-17</v>
      </c>
      <c r="C73" s="165">
        <f>VLOOKUP("Mercado Diario",'Data 1'!Q86:AE102,13,FALSE)</f>
        <v>73.55</v>
      </c>
      <c r="D73" s="165">
        <f>VLOOKUP("Mercado Intradiario",'Data 1'!Q86:AE102,13,FALSE)</f>
        <v>0.04</v>
      </c>
      <c r="E73" s="165">
        <f t="shared" si="0"/>
        <v>73.59</v>
      </c>
      <c r="F73" s="165">
        <f>'Data 1'!N89</f>
        <v>2.9000000000000004</v>
      </c>
      <c r="G73" s="165">
        <f>VLOOKUP("Pago capacidad",'Data 1'!Q86:AE102,13,FALSE)</f>
        <v>3.31</v>
      </c>
      <c r="H73" s="165">
        <f>VLOOKUP("Servicio interrumpibilidad",'Data 1'!Q86:AE102,13,FALSE)</f>
        <v>1.9</v>
      </c>
      <c r="I73" s="165">
        <f t="shared" si="1"/>
        <v>81.700000000000017</v>
      </c>
      <c r="J73" s="85">
        <f>VLOOKUP("Energía final MWh",'Data 1'!Q84:AE102,13,FALSE)/1000</f>
        <v>23014.493329000001</v>
      </c>
      <c r="K73" s="172">
        <f>E73+F73+G73+H73-VLOOKUP("Coste medio final (€/MWh)",'Data 1'!Q86:AE102,13,FALSE)</f>
        <v>0</v>
      </c>
      <c r="L73" s="173"/>
      <c r="M73" s="173"/>
    </row>
    <row r="74" spans="2:32">
      <c r="B74" s="56" t="str">
        <f>MID('Data 1'!AD83,6,3)&amp; "-" &amp;MID('Data 1'!AD83,3,2)</f>
        <v>Feb-17</v>
      </c>
      <c r="C74" s="176">
        <f>VLOOKUP("Mercado Diario",'Data 1'!Q86:AE102,14,FALSE)</f>
        <v>53.04</v>
      </c>
      <c r="D74" s="176">
        <f>VLOOKUP("Mercado Intradiario",'Data 1'!Q86:AE102,14,FALSE)</f>
        <v>0.01</v>
      </c>
      <c r="E74" s="176">
        <f t="shared" si="0"/>
        <v>53.05</v>
      </c>
      <c r="F74" s="176">
        <f>'Data 1'!O89</f>
        <v>2.8400000000000003</v>
      </c>
      <c r="G74" s="176">
        <f>VLOOKUP("Pago capacidad",'Data 1'!Q86:AE102,14,FALSE)</f>
        <v>3.26</v>
      </c>
      <c r="H74" s="176">
        <f>VLOOKUP("Servicio interrumpibilidad",'Data 1'!Q86:AE102,14,FALSE)</f>
        <v>2.19</v>
      </c>
      <c r="I74" s="176">
        <f>SUM(E74:H74)</f>
        <v>61.339999999999996</v>
      </c>
      <c r="J74" s="102">
        <f>VLOOKUP("Energía final MWh",'Data 1'!Q84:AE102,14,FALSE)/1000</f>
        <v>19924.788991999998</v>
      </c>
      <c r="K74" s="172">
        <f>E74+F74+G74+H74-VLOOKUP("Coste medio final (€/MWh)",'Data 1'!Q86:AE102,14,FALSE)</f>
        <v>0</v>
      </c>
      <c r="L74" s="174">
        <f>(I74/I73-1)*100</f>
        <v>-24.920440636474929</v>
      </c>
      <c r="M74" s="174">
        <f>(I74/I62-1)*100</f>
        <v>60.912906610703054</v>
      </c>
    </row>
    <row r="75" spans="2:32">
      <c r="B75" s="126"/>
      <c r="C75" s="126"/>
      <c r="L75" s="126"/>
    </row>
    <row r="76" spans="2:32">
      <c r="B76" s="169" t="s">
        <v>56</v>
      </c>
    </row>
    <row r="77" spans="2:32" ht="45">
      <c r="B77" s="106"/>
      <c r="C77" s="106" t="s">
        <v>1</v>
      </c>
      <c r="D77" s="106" t="s">
        <v>2</v>
      </c>
      <c r="E77" s="106" t="s">
        <v>57</v>
      </c>
      <c r="F77" s="106" t="s">
        <v>39</v>
      </c>
      <c r="G77" s="106" t="s">
        <v>40</v>
      </c>
      <c r="H77" s="106" t="s">
        <v>19</v>
      </c>
      <c r="I77" s="106" t="s">
        <v>38</v>
      </c>
      <c r="J77" s="106" t="s">
        <v>24</v>
      </c>
      <c r="K77" s="106" t="s">
        <v>45</v>
      </c>
      <c r="L77" s="106" t="s">
        <v>0</v>
      </c>
    </row>
    <row r="78" spans="2:32">
      <c r="B78" s="103" t="s">
        <v>41</v>
      </c>
      <c r="C78" s="163">
        <f>VLOOKUP("Mercado Diario",'Data 1'!Q86:AE102,14,FALSE)</f>
        <v>53.04</v>
      </c>
      <c r="D78" s="163">
        <f>VLOOKUP("Mercado Intradiario",'Data 1'!Q86:AE102,14,FALSE)</f>
        <v>0.01</v>
      </c>
      <c r="E78" s="163">
        <f>SUM(C78:D78)</f>
        <v>53.05</v>
      </c>
      <c r="F78" s="163">
        <f>VLOOKUP("Pago capacidad",'Data 1'!Q86:AE102,14,FALSE)</f>
        <v>3.26</v>
      </c>
      <c r="G78" s="163">
        <f>VLOOKUP("Servicio interrumpibilidad",'Data 1'!Q86:AE102,14,FALSE)</f>
        <v>2.19</v>
      </c>
      <c r="H78" s="163">
        <f>SUM(I78,J78:K78)</f>
        <v>2.8400000000000003</v>
      </c>
      <c r="I78" s="163">
        <f>VLOOKUP("Restricciones PBF",'Data 1'!Q86:AE102,14,FALSE)</f>
        <v>1.82</v>
      </c>
      <c r="J78" s="163">
        <f>VLOOKUP("Banda secundaria",'Data 1'!Q86:AE102,14,FALSE)</f>
        <v>0.65</v>
      </c>
      <c r="K78" s="163">
        <f>'Data 1'!O83+'Data 1'!O86+'Data 1'!O87+'Data 1'!O88+O84</f>
        <v>0.37000000000000005</v>
      </c>
      <c r="L78" s="163">
        <f>'Data 1'!AD102</f>
        <v>61.34</v>
      </c>
      <c r="M78" s="172">
        <f>L78-SUM(E78:H78)</f>
        <v>0</v>
      </c>
    </row>
    <row r="80" spans="2:32">
      <c r="B80" s="107" t="s">
        <v>21</v>
      </c>
      <c r="C80" s="127"/>
      <c r="D80" s="127"/>
      <c r="E80" s="127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</row>
    <row r="81" spans="2:32">
      <c r="B81" s="109"/>
      <c r="C81" s="129" t="str">
        <f t="shared" ref="C81:O81" si="2">MID(R83,6,1)</f>
        <v>F</v>
      </c>
      <c r="D81" s="129" t="str">
        <f t="shared" si="2"/>
        <v>M</v>
      </c>
      <c r="E81" s="129" t="str">
        <f t="shared" si="2"/>
        <v>A</v>
      </c>
      <c r="F81" s="129" t="str">
        <f t="shared" si="2"/>
        <v>M</v>
      </c>
      <c r="G81" s="129" t="str">
        <f t="shared" si="2"/>
        <v>J</v>
      </c>
      <c r="H81" s="129" t="str">
        <f t="shared" si="2"/>
        <v>J</v>
      </c>
      <c r="I81" s="129" t="str">
        <f t="shared" si="2"/>
        <v>A</v>
      </c>
      <c r="J81" s="129" t="str">
        <f t="shared" si="2"/>
        <v>S</v>
      </c>
      <c r="K81" s="129" t="str">
        <f t="shared" si="2"/>
        <v>O</v>
      </c>
      <c r="L81" s="129" t="str">
        <f t="shared" si="2"/>
        <v>N</v>
      </c>
      <c r="M81" s="129" t="str">
        <f t="shared" si="2"/>
        <v>D</v>
      </c>
      <c r="N81" s="129" t="str">
        <f t="shared" si="2"/>
        <v>E</v>
      </c>
      <c r="O81" s="129" t="str">
        <f t="shared" si="2"/>
        <v>F</v>
      </c>
      <c r="P81" s="126"/>
      <c r="Q81" s="110" t="s">
        <v>32</v>
      </c>
      <c r="R81" s="110" t="s">
        <v>101</v>
      </c>
      <c r="S81" s="110" t="s">
        <v>101</v>
      </c>
      <c r="T81" s="110" t="s">
        <v>101</v>
      </c>
      <c r="U81" s="110" t="s">
        <v>101</v>
      </c>
      <c r="V81" s="110" t="s">
        <v>101</v>
      </c>
      <c r="W81" s="110" t="s">
        <v>101</v>
      </c>
      <c r="X81" s="110" t="s">
        <v>101</v>
      </c>
      <c r="Y81" s="110" t="s">
        <v>101</v>
      </c>
      <c r="Z81" s="110" t="s">
        <v>101</v>
      </c>
      <c r="AA81" s="110" t="s">
        <v>101</v>
      </c>
      <c r="AB81" s="110" t="s">
        <v>101</v>
      </c>
      <c r="AC81" s="110" t="s">
        <v>101</v>
      </c>
      <c r="AD81" s="110" t="s">
        <v>101</v>
      </c>
      <c r="AE81" s="130"/>
      <c r="AF81" s="126"/>
    </row>
    <row r="82" spans="2:32">
      <c r="B82" s="110" t="s">
        <v>23</v>
      </c>
      <c r="C82" s="131">
        <f>VLOOKUP("Restricciones PBF",$Q$86:$AE$102,2,FALSE)</f>
        <v>2.65</v>
      </c>
      <c r="D82" s="131">
        <f>VLOOKUP("Restricciones PBF",$Q$86:$AE$102,3,FALSE)</f>
        <v>2.88</v>
      </c>
      <c r="E82" s="131">
        <f>VLOOKUP("Restricciones PBF",$Q$86:$AE$102,4,FALSE)</f>
        <v>2.59</v>
      </c>
      <c r="F82" s="131">
        <f>VLOOKUP("Restricciones PBF",$Q$86:$AE$102,5,FALSE)</f>
        <v>2.99</v>
      </c>
      <c r="G82" s="131">
        <f>VLOOKUP("Restricciones PBF",$Q$86:$AE$102,6,FALSE)</f>
        <v>1.84</v>
      </c>
      <c r="H82" s="131">
        <f>VLOOKUP("Restricciones PBF",$Q$86:$AE$102,7,FALSE)</f>
        <v>1.55</v>
      </c>
      <c r="I82" s="131">
        <f>VLOOKUP("Restricciones PBF",$Q$86:$AE$102,8,FALSE)</f>
        <v>1.85</v>
      </c>
      <c r="J82" s="131">
        <f>VLOOKUP("Restricciones PBF",$Q$86:$AE$102,9,FALSE)</f>
        <v>1.91</v>
      </c>
      <c r="K82" s="131">
        <f>VLOOKUP("Restricciones PBF",$Q$86:$AE$102,10,FALSE)</f>
        <v>2.04</v>
      </c>
      <c r="L82" s="131">
        <f>VLOOKUP("Restricciones PBF",$Q$86:$AE$102,11,FALSE)</f>
        <v>0.89</v>
      </c>
      <c r="M82" s="131">
        <f>VLOOKUP("Restricciones PBF",$Q$86:$AE$102,12,FALSE)</f>
        <v>1.1299999999999999</v>
      </c>
      <c r="N82" s="131">
        <f>VLOOKUP("Restricciones PBF",$Q$86:$AE$102,13,FALSE)</f>
        <v>1.48</v>
      </c>
      <c r="O82" s="131">
        <f>VLOOKUP("Restricciones PBF",$Q$86:$AE$102,14,FALSE)</f>
        <v>1.82</v>
      </c>
      <c r="P82" s="126"/>
      <c r="Q82" s="110" t="s">
        <v>102</v>
      </c>
      <c r="R82" s="166">
        <v>201602</v>
      </c>
      <c r="S82" s="166">
        <v>201603</v>
      </c>
      <c r="T82" s="166">
        <v>201604</v>
      </c>
      <c r="U82" s="166">
        <v>201605</v>
      </c>
      <c r="V82" s="166">
        <v>201606</v>
      </c>
      <c r="W82" s="166">
        <v>201607</v>
      </c>
      <c r="X82" s="166">
        <v>201608</v>
      </c>
      <c r="Y82" s="166">
        <v>201609</v>
      </c>
      <c r="Z82" s="166">
        <v>201610</v>
      </c>
      <c r="AA82" s="166">
        <v>201611</v>
      </c>
      <c r="AB82" s="166">
        <v>201612</v>
      </c>
      <c r="AC82" s="166">
        <v>201701</v>
      </c>
      <c r="AD82" s="110">
        <v>201702</v>
      </c>
      <c r="AE82" s="130"/>
      <c r="AF82" s="126"/>
    </row>
    <row r="83" spans="2:32">
      <c r="B83" s="110" t="s">
        <v>28</v>
      </c>
      <c r="C83" s="131">
        <f>VLOOKUP("Restricciones TR",$Q$86:$AE$102,2,FALSE)</f>
        <v>0.13</v>
      </c>
      <c r="D83" s="131">
        <f>VLOOKUP("Restricciones TR",$Q$86:$AE$102,3,FALSE)</f>
        <v>0.16</v>
      </c>
      <c r="E83" s="131">
        <f>VLOOKUP("Restricciones TR",$Q$86:$AE$102,4,FALSE)</f>
        <v>0.18</v>
      </c>
      <c r="F83" s="131">
        <f>VLOOKUP("Restricciones TR",$Q$86:$AE$102,5,FALSE)</f>
        <v>0.13</v>
      </c>
      <c r="G83" s="131">
        <f>VLOOKUP("Restricciones TR",$Q$86:$AE$102,6,FALSE)</f>
        <v>0.1</v>
      </c>
      <c r="H83" s="131">
        <f>VLOOKUP("Restricciones TR",$Q$86:$AE$102,7,FALSE)</f>
        <v>0.03</v>
      </c>
      <c r="I83" s="131">
        <f>VLOOKUP("Restricciones TR",$Q$86:$AE$102,8,FALSE)</f>
        <v>7.0000000000000007E-2</v>
      </c>
      <c r="J83" s="131">
        <f>VLOOKUP("Restricciones TR",$Q$86:$AE$102,9,FALSE)</f>
        <v>0.09</v>
      </c>
      <c r="K83" s="131">
        <f>VLOOKUP("Restricciones TR",$Q$86:$AE$102,10,FALSE)</f>
        <v>0.21</v>
      </c>
      <c r="L83" s="131">
        <f>VLOOKUP("Restricciones TR",$Q$86:$AE$102,11,FALSE)</f>
        <v>0.15</v>
      </c>
      <c r="M83" s="131">
        <f>VLOOKUP("Restricciones TR",$Q$86:$AE$102,12,FALSE)</f>
        <v>0.13</v>
      </c>
      <c r="N83" s="131">
        <f>VLOOKUP("Restricciones TR",$Q$86:$AE$102,13,FALSE)</f>
        <v>0.17</v>
      </c>
      <c r="O83" s="131">
        <f>VLOOKUP("Restricciones TR",$Q$86:$AE$102,14,FALSE)</f>
        <v>0.23</v>
      </c>
      <c r="P83" s="126"/>
      <c r="Q83" s="110" t="s">
        <v>103</v>
      </c>
      <c r="R83" s="166" t="s">
        <v>210</v>
      </c>
      <c r="S83" s="166" t="s">
        <v>216</v>
      </c>
      <c r="T83" s="166" t="s">
        <v>217</v>
      </c>
      <c r="U83" s="166" t="s">
        <v>218</v>
      </c>
      <c r="V83" s="166" t="s">
        <v>219</v>
      </c>
      <c r="W83" s="166" t="s">
        <v>220</v>
      </c>
      <c r="X83" s="166" t="s">
        <v>221</v>
      </c>
      <c r="Y83" s="166" t="s">
        <v>222</v>
      </c>
      <c r="Z83" s="166" t="s">
        <v>223</v>
      </c>
      <c r="AA83" s="166" t="s">
        <v>224</v>
      </c>
      <c r="AB83" s="166" t="s">
        <v>104</v>
      </c>
      <c r="AC83" s="166" t="s">
        <v>225</v>
      </c>
      <c r="AD83" s="110" t="s">
        <v>199</v>
      </c>
      <c r="AE83" s="130"/>
      <c r="AF83" s="126"/>
    </row>
    <row r="84" spans="2:32">
      <c r="B84" s="110" t="s">
        <v>27</v>
      </c>
      <c r="C84" s="131">
        <f>VLOOKUP("Reserva subir",$Q$86:$AE$102,2,FALSE)</f>
        <v>0.25</v>
      </c>
      <c r="D84" s="131">
        <f>VLOOKUP("Reserva subir",$Q$86:$AE$102,3,FALSE)</f>
        <v>0.37</v>
      </c>
      <c r="E84" s="131">
        <f>VLOOKUP("Reserva subir",$Q$86:$AE$102,4,FALSE)</f>
        <v>0.28999999999999998</v>
      </c>
      <c r="F84" s="131">
        <f>VLOOKUP("Reserva subir",$Q$86:$AE$102,5,FALSE)</f>
        <v>0.3</v>
      </c>
      <c r="G84" s="131">
        <f>VLOOKUP("Reserva subir",$Q$86:$AE$102,6,FALSE)</f>
        <v>0</v>
      </c>
      <c r="H84" s="131">
        <f>VLOOKUP("Reserva subir",$Q$86:$AE$102,7,FALSE)</f>
        <v>0</v>
      </c>
      <c r="I84" s="131">
        <f>VLOOKUP("Reserva subir",$Q$86:$AE$102,8,FALSE)</f>
        <v>0</v>
      </c>
      <c r="J84" s="131">
        <f>VLOOKUP("Reserva subir",$Q$86:$AE$102,9,FALSE)</f>
        <v>0.02</v>
      </c>
      <c r="K84" s="131">
        <f>VLOOKUP("Reserva subir",$Q$86:$AE$102,10,FALSE)</f>
        <v>0.25</v>
      </c>
      <c r="L84" s="131">
        <f>VLOOKUP("Reserva subir",$Q$86:$AE$102,11,FALSE)</f>
        <v>0.15</v>
      </c>
      <c r="M84" s="131">
        <f>VLOOKUP("Reserva subir",$Q$86:$AE$102,12,FALSE)</f>
        <v>0.08</v>
      </c>
      <c r="N84" s="131">
        <f>VLOOKUP("Reserva subir",$Q$86:$AE$102,13,FALSE)</f>
        <v>0.27</v>
      </c>
      <c r="O84" s="131">
        <f>VLOOKUP("Reserva subir",$Q$86:$AE$102,14,FALSE)</f>
        <v>0.02</v>
      </c>
      <c r="P84" s="126"/>
      <c r="Q84" s="110" t="s">
        <v>105</v>
      </c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31"/>
      <c r="AE84" s="132"/>
      <c r="AF84" s="126"/>
    </row>
    <row r="85" spans="2:32">
      <c r="B85" s="110" t="s">
        <v>14</v>
      </c>
      <c r="C85" s="131">
        <f>VLOOKUP("Banda Secundaria",$Q$86:$AE$102,2,FALSE)</f>
        <v>1.1299999999999999</v>
      </c>
      <c r="D85" s="131">
        <f>VLOOKUP("Banda Secundaria",$Q$86:$AE$102,3,FALSE)</f>
        <v>1.01</v>
      </c>
      <c r="E85" s="131">
        <f>VLOOKUP("Banda Secundaria",$Q$86:$AE$102,4,FALSE)</f>
        <v>0.9</v>
      </c>
      <c r="F85" s="131">
        <f>VLOOKUP("Banda Secundaria",$Q$86:$AE$102,5,FALSE)</f>
        <v>0.93</v>
      </c>
      <c r="G85" s="131">
        <f>VLOOKUP("Banda Secundaria",$Q$86:$AE$102,6,FALSE)</f>
        <v>0.52</v>
      </c>
      <c r="H85" s="131">
        <f>VLOOKUP("Banda Secundaria",$Q$86:$AE$102,7,FALSE)</f>
        <v>0.47</v>
      </c>
      <c r="I85" s="131">
        <f>VLOOKUP("Banda Secundaria",$Q$86:$AE$102,8,FALSE)</f>
        <v>0.48</v>
      </c>
      <c r="J85" s="131">
        <f>VLOOKUP("Banda Secundaria",$Q$86:$AE$102,9,FALSE)</f>
        <v>0.39</v>
      </c>
      <c r="K85" s="131">
        <f>VLOOKUP("Banda Secundaria",$Q$86:$AE$102,10,FALSE)</f>
        <v>0.51</v>
      </c>
      <c r="L85" s="131">
        <f>VLOOKUP("Banda Secundaria",$Q$86:$AE$102,11,FALSE)</f>
        <v>0.68</v>
      </c>
      <c r="M85" s="131">
        <f>VLOOKUP("Banda Secundaria",$Q$86:$AE$102,12,FALSE)</f>
        <v>0.63</v>
      </c>
      <c r="N85" s="131">
        <f>VLOOKUP("Banda Secundaria",$Q$86:$AE$102,13,FALSE)</f>
        <v>0.87</v>
      </c>
      <c r="O85" s="131">
        <f>VLOOKUP("Banda Secundaria",$Q$86:$AE$102,14,FALSE)</f>
        <v>0.65</v>
      </c>
      <c r="P85" s="126"/>
      <c r="Q85" s="110" t="s">
        <v>106</v>
      </c>
      <c r="R85" s="167">
        <v>20776593.364</v>
      </c>
      <c r="S85" s="167">
        <v>21402936.888999999</v>
      </c>
      <c r="T85" s="167">
        <v>19869083.243000001</v>
      </c>
      <c r="U85" s="167">
        <v>19666148.055</v>
      </c>
      <c r="V85" s="167">
        <v>20177555.263999999</v>
      </c>
      <c r="W85" s="167">
        <v>22159669.855</v>
      </c>
      <c r="X85" s="167">
        <v>21363493.559</v>
      </c>
      <c r="Y85" s="167">
        <v>20744364.344999999</v>
      </c>
      <c r="Z85" s="167">
        <v>19754261.691</v>
      </c>
      <c r="AA85" s="167">
        <v>20531079.982999999</v>
      </c>
      <c r="AB85" s="167">
        <v>21242103.765000001</v>
      </c>
      <c r="AC85" s="167">
        <v>23014493.329</v>
      </c>
      <c r="AD85" s="131">
        <v>19924788.991999999</v>
      </c>
      <c r="AE85" s="133"/>
      <c r="AF85" s="126"/>
    </row>
    <row r="86" spans="2:32">
      <c r="B86" s="110" t="s">
        <v>58</v>
      </c>
      <c r="C86" s="131">
        <f>VLOOKUP("Coste desvíos",$Q$86:$AE$102,2,FALSE)+VLOOKUP("Saldo PO 14.6",$Q$86:$AE$102,2,FALSE)</f>
        <v>0.25</v>
      </c>
      <c r="D86" s="131">
        <f>VLOOKUP("Coste desvíos",$Q$86:$AE$102,3,FALSE)+VLOOKUP("Saldo PO 14.6",$Q$86:$AE$102,3,FALSE)</f>
        <v>0.28000000000000003</v>
      </c>
      <c r="E86" s="131">
        <f>VLOOKUP("Coste desvíos",$Q$86:$AE$102,4,FALSE)+VLOOKUP("Saldo PO 14.6",$Q$86:$AE$102,4,FALSE)</f>
        <v>0.25</v>
      </c>
      <c r="F86" s="131">
        <f>VLOOKUP("Coste desvíos",$Q$86:$AE$102,5,FALSE)+VLOOKUP("Saldo PO 14.6",$Q$86:$AE$102,5,FALSE)</f>
        <v>0.15</v>
      </c>
      <c r="G86" s="131">
        <f>VLOOKUP("Coste desvíos",$Q$86:$AE$102,6,FALSE)+VLOOKUP("Saldo PO 14.6",$Q$86:$AE$102,6,FALSE)</f>
        <v>0.17</v>
      </c>
      <c r="H86" s="131">
        <f>VLOOKUP("Coste desvíos",$Q$86:$AE$102,7,FALSE)+VLOOKUP("Saldo PO 14.6",$Q$86:$AE$102,7,FALSE)</f>
        <v>0.11</v>
      </c>
      <c r="I86" s="131">
        <f>VLOOKUP("Coste desvíos",$Q$86:$AE$102,8,FALSE)+VLOOKUP("Saldo PO 14.6",$Q$86:$AE$102,8,FALSE)</f>
        <v>0.15000000000000002</v>
      </c>
      <c r="J86" s="131">
        <f>VLOOKUP("Coste desvíos",$Q$86:$AE$102,9,FALSE)+VLOOKUP("Saldo PO 14.6",$Q$86:$AE$102,9,FALSE)</f>
        <v>0.19</v>
      </c>
      <c r="K86" s="131">
        <f>VLOOKUP("Coste desvíos",$Q$86:$AE$102,10,FALSE)+VLOOKUP("Saldo PO 14.6",$Q$86:$AE$102,10,FALSE)</f>
        <v>0.13</v>
      </c>
      <c r="L86" s="131">
        <f>VLOOKUP("Coste desvíos",$Q$86:$AE$102,11,FALSE)+VLOOKUP("Saldo PO 14.6",$Q$86:$AE$102,11,FALSE)</f>
        <v>0.17</v>
      </c>
      <c r="M86" s="131">
        <f>VLOOKUP("Coste desvíos",$Q$86:$AE$102,12,FALSE)+VLOOKUP("Saldo PO 14.6",$Q$86:$AE$102,12,FALSE)</f>
        <v>0.19</v>
      </c>
      <c r="N86" s="131">
        <f>VLOOKUP("Coste desvíos",$Q$86:$AE$102,13,FALSE)+VLOOKUP("Saldo PO 14.6",$Q$86:$AE$102,13,FALSE)</f>
        <v>0.27</v>
      </c>
      <c r="O86" s="131">
        <f>VLOOKUP("Coste desvíos",$Q$86:$AE$102,14,FALSE)+VLOOKUP("Saldo PO 14.6",$Q$86:$AE$102,14,FALSE)</f>
        <v>0.31</v>
      </c>
      <c r="P86" s="126"/>
      <c r="Q86" s="110" t="s">
        <v>107</v>
      </c>
      <c r="R86" s="167">
        <v>100</v>
      </c>
      <c r="S86" s="167">
        <v>100</v>
      </c>
      <c r="T86" s="167">
        <v>100</v>
      </c>
      <c r="U86" s="167">
        <v>100</v>
      </c>
      <c r="V86" s="167">
        <v>100</v>
      </c>
      <c r="W86" s="167">
        <v>100</v>
      </c>
      <c r="X86" s="167">
        <v>100</v>
      </c>
      <c r="Y86" s="167">
        <v>100</v>
      </c>
      <c r="Z86" s="167">
        <v>100</v>
      </c>
      <c r="AA86" s="167">
        <v>100</v>
      </c>
      <c r="AB86" s="167">
        <v>100</v>
      </c>
      <c r="AC86" s="167">
        <v>100</v>
      </c>
      <c r="AD86" s="131">
        <v>100</v>
      </c>
      <c r="AE86" s="134"/>
      <c r="AF86" s="126"/>
    </row>
    <row r="87" spans="2:32">
      <c r="B87" s="110" t="s">
        <v>18</v>
      </c>
      <c r="C87" s="131">
        <f>VLOOKUP("Saldo desvíos",$Q$86:$AE$102,2,FALSE)+VLOOKUP("Incumplimiento energía balance",$Q$86:$AE$102,2,FALSE)</f>
        <v>-0.12</v>
      </c>
      <c r="D87" s="131">
        <f>VLOOKUP("Saldo desvíos",$Q$86:$AE$102,3,FALSE)+VLOOKUP("Incumplimiento energía balance",$Q$86:$AE$102,3,FALSE)</f>
        <v>-0.09</v>
      </c>
      <c r="E87" s="131">
        <f>VLOOKUP("Saldo desvíos",$Q$86:$AE$102,4,FALSE)+VLOOKUP("Incumplimiento energía balance",$Q$86:$AE$102,4,FALSE)</f>
        <v>-0.08</v>
      </c>
      <c r="F87" s="131">
        <f>VLOOKUP("Saldo desvíos",$Q$86:$AE$102,5,FALSE)+VLOOKUP("Incumplimiento energía balance",$Q$86:$AE$102,5,FALSE)</f>
        <v>-0.06</v>
      </c>
      <c r="G87" s="131">
        <f>VLOOKUP("Saldo desvíos",$Q$86:$AE$102,6,FALSE)+VLOOKUP("Incumplimiento energía balance",$Q$86:$AE$102,6,FALSE)</f>
        <v>-7.0000000000000007E-2</v>
      </c>
      <c r="H87" s="131">
        <f>VLOOKUP("Saldo desvíos",$Q$86:$AE$102,7,FALSE)+VLOOKUP("Incumplimiento energía balance",$Q$86:$AE$102,7,FALSE)</f>
        <v>-0.08</v>
      </c>
      <c r="I87" s="131">
        <f>VLOOKUP("Saldo desvíos",$Q$86:$AE$102,8,FALSE)+VLOOKUP("Incumplimiento energía balance",$Q$86:$AE$102,8,FALSE)</f>
        <v>-9.0000000000000011E-2</v>
      </c>
      <c r="J87" s="131">
        <f>VLOOKUP("Saldo desvíos",$Q$86:$AE$102,9,FALSE)+VLOOKUP("Incumplimiento energía balance",$Q$86:$AE$102,9,FALSE)</f>
        <v>-0.09</v>
      </c>
      <c r="K87" s="131">
        <f>VLOOKUP("Saldo desvíos",$Q$86:$AE$102,10,FALSE)+VLOOKUP("Incumplimiento energía balance",$Q$86:$AE$102,10,FALSE)</f>
        <v>-0.09</v>
      </c>
      <c r="L87" s="131">
        <f>VLOOKUP("Saldo desvíos",$Q$86:$AE$102,11,FALSE)+VLOOKUP("Incumplimiento energía balance",$Q$86:$AE$102,11,FALSE)</f>
        <v>-6.0000000000000005E-2</v>
      </c>
      <c r="M87" s="131">
        <f>VLOOKUP("Saldo desvíos",$Q$86:$AE$102,12,FALSE)+VLOOKUP("Incumplimiento energía balance",$Q$86:$AE$102,12,FALSE)</f>
        <v>-7.0000000000000007E-2</v>
      </c>
      <c r="N87" s="131">
        <f>VLOOKUP("Saldo desvíos",$Q$86:$AE$102,13,FALSE)+VLOOKUP("Incumplimiento energía balance",$Q$86:$AE$102,13,FALSE)</f>
        <v>-0.09</v>
      </c>
      <c r="O87" s="131">
        <f>VLOOKUP("Saldo desvíos",$Q$86:$AE$102,14,FALSE)+VLOOKUP("Incumplimiento energía balance",$Q$86:$AE$102,14,FALSE)</f>
        <v>-0.12</v>
      </c>
      <c r="P87" s="126"/>
      <c r="Q87" s="110" t="s">
        <v>108</v>
      </c>
      <c r="R87" s="167">
        <v>28.8</v>
      </c>
      <c r="S87" s="167">
        <v>28.65</v>
      </c>
      <c r="T87" s="167">
        <v>24.86</v>
      </c>
      <c r="U87" s="167">
        <v>26.74</v>
      </c>
      <c r="V87" s="167">
        <v>39.29</v>
      </c>
      <c r="W87" s="167">
        <v>41.07</v>
      </c>
      <c r="X87" s="167">
        <v>41.63</v>
      </c>
      <c r="Y87" s="167">
        <v>44.17</v>
      </c>
      <c r="Z87" s="167">
        <v>53.79</v>
      </c>
      <c r="AA87" s="167">
        <v>57.4</v>
      </c>
      <c r="AB87" s="167">
        <v>61.86</v>
      </c>
      <c r="AC87" s="167">
        <v>73.55</v>
      </c>
      <c r="AD87" s="131">
        <v>53.04</v>
      </c>
      <c r="AE87" s="134"/>
      <c r="AF87" s="126"/>
    </row>
    <row r="88" spans="2:32">
      <c r="B88" s="112" t="s">
        <v>25</v>
      </c>
      <c r="C88" s="135">
        <f>VLOOKUP("Control del factor de potencia",$Q$86:$AE$102,2,FALSE)</f>
        <v>-0.09</v>
      </c>
      <c r="D88" s="135">
        <f>VLOOKUP("Control del factor de potencia",$Q$86:$AE$102,3,FALSE)</f>
        <v>-7.0000000000000007E-2</v>
      </c>
      <c r="E88" s="135">
        <f>VLOOKUP("Control del factor de potencia",$Q$86:$AE$102,4,FALSE)</f>
        <v>-0.06</v>
      </c>
      <c r="F88" s="135">
        <f>VLOOKUP("Control del factor de potencia",$Q$86:$AE$102,5,FALSE)</f>
        <v>-7.0000000000000007E-2</v>
      </c>
      <c r="G88" s="135">
        <f>VLOOKUP("Control del factor de potencia",$Q$86:$AE$102,6,FALSE)</f>
        <v>-0.05</v>
      </c>
      <c r="H88" s="135">
        <f>VLOOKUP("Control del factor de potencia",$Q$86:$AE$102,7,FALSE)</f>
        <v>-0.05</v>
      </c>
      <c r="I88" s="135">
        <f>VLOOKUP("Control del factor de potencia",$Q$86:$AE$102,8,FALSE)</f>
        <v>-0.05</v>
      </c>
      <c r="J88" s="135">
        <f>VLOOKUP("Control del factor de potencia",$Q$86:$AE$102,9,FALSE)</f>
        <v>-0.05</v>
      </c>
      <c r="K88" s="135">
        <f>VLOOKUP("Control del factor de potencia",$Q$86:$AE$102,10,FALSE)</f>
        <v>-0.05</v>
      </c>
      <c r="L88" s="135">
        <f>VLOOKUP("Control del factor de potencia",$Q$86:$AE$102,11,FALSE)</f>
        <v>-0.06</v>
      </c>
      <c r="M88" s="135">
        <f>VLOOKUP("Control del factor de potencia",$Q$86:$AE$102,12,FALSE)</f>
        <v>-0.05</v>
      </c>
      <c r="N88" s="135">
        <f>VLOOKUP("Control del factor de potencia",$Q$86:$AE$102,13,FALSE)</f>
        <v>-7.0000000000000007E-2</v>
      </c>
      <c r="O88" s="135">
        <f>VLOOKUP("Control del factor de potencia",$Q$86:$AE$102,14,FALSE)</f>
        <v>-7.0000000000000007E-2</v>
      </c>
      <c r="P88" s="126"/>
      <c r="Q88" s="110" t="s">
        <v>109</v>
      </c>
      <c r="R88" s="167">
        <v>2.65</v>
      </c>
      <c r="S88" s="167">
        <v>2.88</v>
      </c>
      <c r="T88" s="167">
        <v>2.59</v>
      </c>
      <c r="U88" s="167">
        <v>2.99</v>
      </c>
      <c r="V88" s="167">
        <v>1.84</v>
      </c>
      <c r="W88" s="167">
        <v>1.55</v>
      </c>
      <c r="X88" s="167">
        <v>1.85</v>
      </c>
      <c r="Y88" s="167">
        <v>1.91</v>
      </c>
      <c r="Z88" s="167">
        <v>2.04</v>
      </c>
      <c r="AA88" s="167">
        <v>0.89</v>
      </c>
      <c r="AB88" s="167">
        <v>1.1299999999999999</v>
      </c>
      <c r="AC88" s="167">
        <v>1.48</v>
      </c>
      <c r="AD88" s="131">
        <v>1.82</v>
      </c>
      <c r="AE88" s="134"/>
      <c r="AF88" s="126"/>
    </row>
    <row r="89" spans="2:32">
      <c r="B89" s="126"/>
      <c r="C89" s="177">
        <f t="shared" ref="C89:O89" si="3">SUM(C82:C88)</f>
        <v>4.2</v>
      </c>
      <c r="D89" s="177">
        <f t="shared" si="3"/>
        <v>4.54</v>
      </c>
      <c r="E89" s="177">
        <f t="shared" si="3"/>
        <v>4.07</v>
      </c>
      <c r="F89" s="177">
        <f t="shared" si="3"/>
        <v>4.37</v>
      </c>
      <c r="G89" s="177">
        <f t="shared" si="3"/>
        <v>2.5100000000000002</v>
      </c>
      <c r="H89" s="177">
        <f t="shared" si="3"/>
        <v>2.0299999999999998</v>
      </c>
      <c r="I89" s="177">
        <f t="shared" si="3"/>
        <v>2.4100000000000006</v>
      </c>
      <c r="J89" s="177">
        <f t="shared" si="3"/>
        <v>2.4600000000000004</v>
      </c>
      <c r="K89" s="177">
        <f t="shared" si="3"/>
        <v>3</v>
      </c>
      <c r="L89" s="177">
        <f t="shared" si="3"/>
        <v>1.92</v>
      </c>
      <c r="M89" s="177">
        <f t="shared" si="3"/>
        <v>2.04</v>
      </c>
      <c r="N89" s="177">
        <f t="shared" si="3"/>
        <v>2.9000000000000004</v>
      </c>
      <c r="O89" s="177">
        <f t="shared" si="3"/>
        <v>2.8400000000000003</v>
      </c>
      <c r="P89" s="126"/>
      <c r="Q89" s="110" t="s">
        <v>110</v>
      </c>
      <c r="R89" s="167">
        <v>0.13</v>
      </c>
      <c r="S89" s="167">
        <v>0.16</v>
      </c>
      <c r="T89" s="167">
        <v>0.18</v>
      </c>
      <c r="U89" s="167">
        <v>0.13</v>
      </c>
      <c r="V89" s="167">
        <v>0.1</v>
      </c>
      <c r="W89" s="167">
        <v>0.03</v>
      </c>
      <c r="X89" s="167">
        <v>7.0000000000000007E-2</v>
      </c>
      <c r="Y89" s="167">
        <v>0.09</v>
      </c>
      <c r="Z89" s="167">
        <v>0.21</v>
      </c>
      <c r="AA89" s="167">
        <v>0.15</v>
      </c>
      <c r="AB89" s="167">
        <v>0.13</v>
      </c>
      <c r="AC89" s="167">
        <v>0.17</v>
      </c>
      <c r="AD89" s="131">
        <v>0.23</v>
      </c>
      <c r="AE89" s="134"/>
      <c r="AF89" s="126"/>
    </row>
    <row r="90" spans="2:32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10" t="s">
        <v>111</v>
      </c>
      <c r="R90" s="167">
        <v>-0.03</v>
      </c>
      <c r="S90" s="167">
        <v>0</v>
      </c>
      <c r="T90" s="167">
        <v>0</v>
      </c>
      <c r="U90" s="167">
        <v>0</v>
      </c>
      <c r="V90" s="167">
        <v>0.01</v>
      </c>
      <c r="W90" s="167">
        <v>-0.01</v>
      </c>
      <c r="X90" s="167">
        <v>-0.01</v>
      </c>
      <c r="Y90" s="167">
        <v>0</v>
      </c>
      <c r="Z90" s="167">
        <v>-0.01</v>
      </c>
      <c r="AA90" s="167">
        <v>0.01</v>
      </c>
      <c r="AB90" s="167">
        <v>0.01</v>
      </c>
      <c r="AC90" s="167">
        <v>0.04</v>
      </c>
      <c r="AD90" s="131">
        <v>0.01</v>
      </c>
      <c r="AE90" s="134"/>
      <c r="AF90" s="126"/>
    </row>
    <row r="91" spans="2:32">
      <c r="B91" s="12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10" t="s">
        <v>84</v>
      </c>
      <c r="N91" s="110"/>
      <c r="O91" s="175">
        <f>(O89-C89)/C89</f>
        <v>-0.32380952380952377</v>
      </c>
      <c r="P91" s="126"/>
      <c r="Q91" s="110" t="s">
        <v>112</v>
      </c>
      <c r="R91" s="167">
        <v>0</v>
      </c>
      <c r="S91" s="167">
        <v>0</v>
      </c>
      <c r="T91" s="167">
        <v>0</v>
      </c>
      <c r="U91" s="167">
        <v>0</v>
      </c>
      <c r="V91" s="167">
        <v>0</v>
      </c>
      <c r="W91" s="167">
        <v>0</v>
      </c>
      <c r="X91" s="167">
        <v>0</v>
      </c>
      <c r="Y91" s="167">
        <v>0</v>
      </c>
      <c r="Z91" s="167">
        <v>0</v>
      </c>
      <c r="AA91" s="167">
        <v>0</v>
      </c>
      <c r="AB91" s="167">
        <v>0</v>
      </c>
      <c r="AC91" s="167">
        <v>0</v>
      </c>
      <c r="AD91" s="131">
        <v>0</v>
      </c>
      <c r="AE91" s="134"/>
      <c r="AF91" s="126"/>
    </row>
    <row r="92" spans="2:32">
      <c r="B92" s="12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10" t="s">
        <v>85</v>
      </c>
      <c r="N92" s="110"/>
      <c r="O92" s="117"/>
      <c r="P92" s="126"/>
      <c r="Q92" s="110" t="s">
        <v>113</v>
      </c>
      <c r="R92" s="167">
        <v>0.25</v>
      </c>
      <c r="S92" s="167">
        <v>0.37</v>
      </c>
      <c r="T92" s="167">
        <v>0.28999999999999998</v>
      </c>
      <c r="U92" s="167">
        <v>0.3</v>
      </c>
      <c r="V92" s="167">
        <v>0</v>
      </c>
      <c r="W92" s="167">
        <v>0</v>
      </c>
      <c r="X92" s="167">
        <v>0</v>
      </c>
      <c r="Y92" s="167">
        <v>0.02</v>
      </c>
      <c r="Z92" s="167">
        <v>0.25</v>
      </c>
      <c r="AA92" s="167">
        <v>0.15</v>
      </c>
      <c r="AB92" s="167">
        <v>0.08</v>
      </c>
      <c r="AC92" s="167">
        <v>0.27</v>
      </c>
      <c r="AD92" s="131">
        <v>0.02</v>
      </c>
      <c r="AE92" s="134"/>
      <c r="AF92" s="126"/>
    </row>
    <row r="93" spans="2:32">
      <c r="B93" s="126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26"/>
      <c r="Q93" s="110" t="s">
        <v>114</v>
      </c>
      <c r="R93" s="167">
        <v>1.1299999999999999</v>
      </c>
      <c r="S93" s="167">
        <v>1.01</v>
      </c>
      <c r="T93" s="167">
        <v>0.9</v>
      </c>
      <c r="U93" s="167">
        <v>0.93</v>
      </c>
      <c r="V93" s="167">
        <v>0.52</v>
      </c>
      <c r="W93" s="167">
        <v>0.47</v>
      </c>
      <c r="X93" s="167">
        <v>0.48</v>
      </c>
      <c r="Y93" s="167">
        <v>0.39</v>
      </c>
      <c r="Z93" s="167">
        <v>0.51</v>
      </c>
      <c r="AA93" s="167">
        <v>0.68</v>
      </c>
      <c r="AB93" s="167">
        <v>0.63</v>
      </c>
      <c r="AC93" s="167">
        <v>0.87</v>
      </c>
      <c r="AD93" s="131">
        <v>0.65</v>
      </c>
      <c r="AE93" s="134"/>
      <c r="AF93" s="126"/>
    </row>
    <row r="94" spans="2:32">
      <c r="B94" s="12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26"/>
      <c r="Q94" s="110" t="s">
        <v>115</v>
      </c>
      <c r="R94" s="167">
        <v>-0.01</v>
      </c>
      <c r="S94" s="167">
        <v>-0.01</v>
      </c>
      <c r="T94" s="167">
        <v>-0.01</v>
      </c>
      <c r="U94" s="167">
        <v>-0.02</v>
      </c>
      <c r="V94" s="167">
        <v>-0.02</v>
      </c>
      <c r="W94" s="167">
        <v>-0.02</v>
      </c>
      <c r="X94" s="167">
        <v>-0.02</v>
      </c>
      <c r="Y94" s="167">
        <v>-0.03</v>
      </c>
      <c r="Z94" s="167">
        <v>-0.03</v>
      </c>
      <c r="AA94" s="167">
        <v>-0.05</v>
      </c>
      <c r="AB94" s="167">
        <v>-0.04</v>
      </c>
      <c r="AC94" s="167">
        <v>-0.05</v>
      </c>
      <c r="AD94" s="131">
        <v>-0.03</v>
      </c>
      <c r="AE94" s="134"/>
      <c r="AF94" s="126"/>
    </row>
    <row r="95" spans="2:32"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8"/>
      <c r="Q95" s="110" t="s">
        <v>116</v>
      </c>
      <c r="R95" s="167">
        <v>0.24</v>
      </c>
      <c r="S95" s="167">
        <v>0.27</v>
      </c>
      <c r="T95" s="167">
        <v>0.23</v>
      </c>
      <c r="U95" s="167">
        <v>0.15</v>
      </c>
      <c r="V95" s="167">
        <v>0.14000000000000001</v>
      </c>
      <c r="W95" s="167">
        <v>0.12</v>
      </c>
      <c r="X95" s="167">
        <v>0.14000000000000001</v>
      </c>
      <c r="Y95" s="167">
        <v>0.2</v>
      </c>
      <c r="Z95" s="167">
        <v>0.14000000000000001</v>
      </c>
      <c r="AA95" s="167">
        <v>0.16</v>
      </c>
      <c r="AB95" s="167">
        <v>0.19</v>
      </c>
      <c r="AC95" s="167">
        <v>0.24</v>
      </c>
      <c r="AD95" s="131">
        <v>0.31</v>
      </c>
      <c r="AE95" s="134"/>
      <c r="AF95" s="126"/>
    </row>
    <row r="96" spans="2:32"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10" t="s">
        <v>117</v>
      </c>
      <c r="R96" s="167">
        <v>-0.11</v>
      </c>
      <c r="S96" s="167">
        <v>-0.08</v>
      </c>
      <c r="T96" s="167">
        <v>-7.0000000000000007E-2</v>
      </c>
      <c r="U96" s="167">
        <v>-0.04</v>
      </c>
      <c r="V96" s="167">
        <v>-0.05</v>
      </c>
      <c r="W96" s="167">
        <v>-0.06</v>
      </c>
      <c r="X96" s="167">
        <v>-7.0000000000000007E-2</v>
      </c>
      <c r="Y96" s="167">
        <v>-0.06</v>
      </c>
      <c r="Z96" s="167">
        <v>-0.06</v>
      </c>
      <c r="AA96" s="167">
        <v>-0.01</v>
      </c>
      <c r="AB96" s="167">
        <v>-0.03</v>
      </c>
      <c r="AC96" s="167">
        <v>-0.04</v>
      </c>
      <c r="AD96" s="131">
        <v>-0.09</v>
      </c>
      <c r="AE96" s="134"/>
      <c r="AF96" s="126"/>
    </row>
    <row r="97" spans="2:32"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10" t="s">
        <v>25</v>
      </c>
      <c r="R97" s="167">
        <v>-0.09</v>
      </c>
      <c r="S97" s="167">
        <v>-7.0000000000000007E-2</v>
      </c>
      <c r="T97" s="167">
        <v>-0.06</v>
      </c>
      <c r="U97" s="167">
        <v>-7.0000000000000007E-2</v>
      </c>
      <c r="V97" s="167">
        <v>-0.05</v>
      </c>
      <c r="W97" s="167">
        <v>-0.05</v>
      </c>
      <c r="X97" s="167">
        <v>-0.05</v>
      </c>
      <c r="Y97" s="167">
        <v>-0.05</v>
      </c>
      <c r="Z97" s="167">
        <v>-0.05</v>
      </c>
      <c r="AA97" s="167">
        <v>-0.06</v>
      </c>
      <c r="AB97" s="167">
        <v>-0.05</v>
      </c>
      <c r="AC97" s="167">
        <v>-7.0000000000000007E-2</v>
      </c>
      <c r="AD97" s="131">
        <v>-7.0000000000000007E-2</v>
      </c>
      <c r="AE97" s="134"/>
      <c r="AF97" s="126"/>
    </row>
    <row r="98" spans="2:32">
      <c r="Q98" s="110" t="s">
        <v>118</v>
      </c>
      <c r="R98" s="167">
        <v>3.22</v>
      </c>
      <c r="S98" s="167">
        <v>2.63</v>
      </c>
      <c r="T98" s="167">
        <v>2.48</v>
      </c>
      <c r="U98" s="167">
        <v>2.4300000000000002</v>
      </c>
      <c r="V98" s="167">
        <v>2.89</v>
      </c>
      <c r="W98" s="167">
        <v>3.26</v>
      </c>
      <c r="X98" s="167">
        <v>2.2000000000000002</v>
      </c>
      <c r="Y98" s="167">
        <v>2.52</v>
      </c>
      <c r="Z98" s="167">
        <v>2.37</v>
      </c>
      <c r="AA98" s="167">
        <v>2.59</v>
      </c>
      <c r="AB98" s="167">
        <v>3.22</v>
      </c>
      <c r="AC98" s="167">
        <v>3.31</v>
      </c>
      <c r="AD98" s="131">
        <v>3.26</v>
      </c>
      <c r="AE98" s="134"/>
    </row>
    <row r="99" spans="2:32">
      <c r="Q99" s="110" t="s">
        <v>40</v>
      </c>
      <c r="R99" s="167">
        <v>1.93</v>
      </c>
      <c r="S99" s="167">
        <v>1.87</v>
      </c>
      <c r="T99" s="167">
        <v>2.02</v>
      </c>
      <c r="U99" s="167">
        <v>2.0299999999999998</v>
      </c>
      <c r="V99" s="167">
        <v>2</v>
      </c>
      <c r="W99" s="167">
        <v>1.82</v>
      </c>
      <c r="X99" s="167">
        <v>1.89</v>
      </c>
      <c r="Y99" s="167">
        <v>1.94</v>
      </c>
      <c r="Z99" s="167">
        <v>2.04</v>
      </c>
      <c r="AA99" s="167">
        <v>1.99</v>
      </c>
      <c r="AB99" s="167">
        <v>1.93</v>
      </c>
      <c r="AC99" s="167">
        <v>1.9</v>
      </c>
      <c r="AD99" s="131">
        <v>2.19</v>
      </c>
      <c r="AE99" s="134"/>
    </row>
    <row r="100" spans="2:32">
      <c r="Q100" s="110" t="s">
        <v>119</v>
      </c>
      <c r="R100" s="167">
        <v>0.01</v>
      </c>
      <c r="S100" s="167">
        <v>0.01</v>
      </c>
      <c r="T100" s="167">
        <v>0.02</v>
      </c>
      <c r="U100" s="167">
        <v>0</v>
      </c>
      <c r="V100" s="167">
        <v>0.03</v>
      </c>
      <c r="W100" s="167">
        <v>-0.01</v>
      </c>
      <c r="X100" s="167">
        <v>0.01</v>
      </c>
      <c r="Y100" s="167">
        <v>-0.01</v>
      </c>
      <c r="Z100" s="167">
        <v>-0.01</v>
      </c>
      <c r="AA100" s="167">
        <v>0.01</v>
      </c>
      <c r="AB100" s="167">
        <v>0</v>
      </c>
      <c r="AC100" s="167">
        <v>0.03</v>
      </c>
      <c r="AD100" s="131">
        <v>0</v>
      </c>
      <c r="AE100" s="134"/>
    </row>
    <row r="101" spans="2:32">
      <c r="Q101" s="110" t="s">
        <v>120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  <c r="AB101" s="167">
        <v>0</v>
      </c>
      <c r="AC101" s="167">
        <v>0</v>
      </c>
      <c r="AD101" s="131">
        <v>0</v>
      </c>
      <c r="AE101" s="134"/>
    </row>
    <row r="102" spans="2:32">
      <c r="Q102" s="110" t="s">
        <v>121</v>
      </c>
      <c r="R102" s="167">
        <v>38.119999999999997</v>
      </c>
      <c r="S102" s="167">
        <v>37.69</v>
      </c>
      <c r="T102" s="167">
        <v>33.43</v>
      </c>
      <c r="U102" s="167">
        <v>35.57</v>
      </c>
      <c r="V102" s="167">
        <v>46.7</v>
      </c>
      <c r="W102" s="167">
        <v>48.17</v>
      </c>
      <c r="X102" s="167">
        <v>48.12</v>
      </c>
      <c r="Y102" s="167">
        <v>51.09</v>
      </c>
      <c r="Z102" s="167">
        <v>61.19</v>
      </c>
      <c r="AA102" s="167">
        <v>63.91</v>
      </c>
      <c r="AB102" s="167">
        <v>69.06</v>
      </c>
      <c r="AC102" s="167">
        <v>81.7</v>
      </c>
      <c r="AD102" s="131">
        <v>61.34</v>
      </c>
    </row>
    <row r="104" spans="2:32">
      <c r="B104" s="107" t="s">
        <v>140</v>
      </c>
      <c r="C104" s="107"/>
      <c r="D104" s="107"/>
      <c r="E104" s="107"/>
      <c r="F104" s="107"/>
      <c r="G104" s="107"/>
      <c r="H104" s="107"/>
      <c r="I104" s="128"/>
    </row>
    <row r="105" spans="2:32">
      <c r="B105" s="109" t="s">
        <v>122</v>
      </c>
      <c r="C105" s="109" t="s">
        <v>199</v>
      </c>
      <c r="D105" s="109" t="s">
        <v>199</v>
      </c>
      <c r="E105" s="109"/>
      <c r="F105" s="109" t="s">
        <v>122</v>
      </c>
      <c r="G105" s="109" t="s">
        <v>210</v>
      </c>
      <c r="H105" s="109" t="s">
        <v>210</v>
      </c>
      <c r="I105" s="110"/>
    </row>
    <row r="106" spans="2:32">
      <c r="B106" s="109" t="s">
        <v>32</v>
      </c>
      <c r="C106" s="109" t="s">
        <v>123</v>
      </c>
      <c r="D106" s="109" t="s">
        <v>124</v>
      </c>
      <c r="E106" s="109"/>
      <c r="F106" s="109" t="s">
        <v>32</v>
      </c>
      <c r="G106" s="109" t="s">
        <v>123</v>
      </c>
      <c r="H106" s="109" t="s">
        <v>124</v>
      </c>
      <c r="I106" s="110"/>
    </row>
    <row r="107" spans="2:32">
      <c r="B107" s="110" t="s">
        <v>200</v>
      </c>
      <c r="C107" s="131"/>
      <c r="D107" s="131"/>
      <c r="E107" s="131"/>
      <c r="F107" s="110" t="s">
        <v>200</v>
      </c>
      <c r="G107" s="110"/>
      <c r="H107" s="110"/>
      <c r="I107" s="110"/>
    </row>
    <row r="108" spans="2:32">
      <c r="B108" s="110" t="s">
        <v>201</v>
      </c>
      <c r="C108" s="131">
        <v>36297797.229999997</v>
      </c>
      <c r="D108" s="131">
        <v>-36297797.229999997</v>
      </c>
      <c r="E108" s="131"/>
      <c r="F108" s="110" t="s">
        <v>201</v>
      </c>
      <c r="G108" s="131">
        <v>53246548.490000002</v>
      </c>
      <c r="H108" s="131">
        <v>-53246548.490000002</v>
      </c>
      <c r="I108" s="131"/>
    </row>
    <row r="109" spans="2:32">
      <c r="B109" s="110" t="s">
        <v>202</v>
      </c>
      <c r="C109" s="131">
        <v>336167.22</v>
      </c>
      <c r="D109" s="131">
        <v>-336167.22</v>
      </c>
      <c r="E109" s="131"/>
      <c r="F109" s="110" t="s">
        <v>202</v>
      </c>
      <c r="G109" s="131">
        <v>5057597.58</v>
      </c>
      <c r="H109" s="131">
        <v>-5057597.58</v>
      </c>
      <c r="I109" s="131"/>
    </row>
    <row r="110" spans="2:32">
      <c r="B110" s="110" t="s">
        <v>203</v>
      </c>
      <c r="C110" s="131">
        <v>12975604</v>
      </c>
      <c r="D110" s="131">
        <v>-12975604</v>
      </c>
      <c r="E110" s="131"/>
      <c r="F110" s="110" t="s">
        <v>203</v>
      </c>
      <c r="G110" s="131">
        <v>22847616.109999999</v>
      </c>
      <c r="H110" s="131">
        <v>-22847616.109999999</v>
      </c>
      <c r="I110" s="131"/>
    </row>
    <row r="111" spans="2:32">
      <c r="B111" s="110" t="s">
        <v>204</v>
      </c>
      <c r="C111" s="131">
        <v>4637658.6900000004</v>
      </c>
      <c r="D111" s="131">
        <v>-4618433.7699999996</v>
      </c>
      <c r="E111" s="131"/>
      <c r="F111" s="110" t="s">
        <v>204</v>
      </c>
      <c r="G111" s="131">
        <v>2703348.24</v>
      </c>
      <c r="H111" s="131">
        <v>-2696315.41</v>
      </c>
      <c r="I111" s="131"/>
    </row>
    <row r="112" spans="2:32">
      <c r="B112" s="110" t="s">
        <v>205</v>
      </c>
      <c r="C112" s="131" t="s">
        <v>184</v>
      </c>
      <c r="D112" s="131">
        <v>673613.53</v>
      </c>
      <c r="E112" s="131"/>
      <c r="F112" s="110" t="s">
        <v>211</v>
      </c>
      <c r="G112" s="131" t="s">
        <v>184</v>
      </c>
      <c r="H112" s="131">
        <v>5597.58</v>
      </c>
      <c r="I112" s="131"/>
    </row>
    <row r="113" spans="2:9">
      <c r="B113" s="110" t="s">
        <v>90</v>
      </c>
      <c r="C113" s="131">
        <v>4343659.03</v>
      </c>
      <c r="D113" s="131">
        <v>-1937480.31</v>
      </c>
      <c r="E113" s="131"/>
      <c r="F113" s="110" t="s">
        <v>90</v>
      </c>
      <c r="G113" s="131">
        <v>553429.03</v>
      </c>
      <c r="H113" s="131">
        <v>3615523.6</v>
      </c>
      <c r="I113" s="131"/>
    </row>
    <row r="114" spans="2:9">
      <c r="B114" s="110" t="s">
        <v>3</v>
      </c>
      <c r="C114" s="131">
        <v>6374403.6600000001</v>
      </c>
      <c r="D114" s="131">
        <v>1192899.78</v>
      </c>
      <c r="E114" s="131"/>
      <c r="F114" s="110" t="s">
        <v>3</v>
      </c>
      <c r="G114" s="131">
        <v>1543391.86</v>
      </c>
      <c r="H114" s="131">
        <v>6624672.4299999997</v>
      </c>
      <c r="I114" s="131"/>
    </row>
    <row r="115" spans="2:9">
      <c r="B115" s="110" t="s">
        <v>206</v>
      </c>
      <c r="C115" s="131">
        <v>662902.9</v>
      </c>
      <c r="D115" s="131">
        <v>-662902.9</v>
      </c>
      <c r="E115" s="131"/>
      <c r="F115" s="110" t="s">
        <v>206</v>
      </c>
      <c r="G115" s="131">
        <v>270277.12</v>
      </c>
      <c r="H115" s="131">
        <v>-270277.12</v>
      </c>
      <c r="I115" s="131"/>
    </row>
    <row r="116" spans="2:9">
      <c r="B116" s="110" t="s">
        <v>143</v>
      </c>
      <c r="C116" s="131">
        <v>2593805.0099999998</v>
      </c>
      <c r="D116" s="131">
        <v>4312741.62</v>
      </c>
      <c r="E116" s="131"/>
      <c r="F116" s="110" t="s">
        <v>143</v>
      </c>
      <c r="G116" s="131">
        <v>1242731.28</v>
      </c>
      <c r="H116" s="131">
        <v>4106596.71</v>
      </c>
      <c r="I116" s="131"/>
    </row>
    <row r="117" spans="2:9">
      <c r="B117" s="110" t="s">
        <v>207</v>
      </c>
      <c r="C117" s="131">
        <v>2854779.5</v>
      </c>
      <c r="D117" s="131">
        <v>-2346427</v>
      </c>
      <c r="E117" s="131"/>
      <c r="F117" s="110" t="s">
        <v>207</v>
      </c>
      <c r="G117" s="131">
        <v>1449896</v>
      </c>
      <c r="H117" s="131">
        <v>-1381895</v>
      </c>
      <c r="I117" s="131"/>
    </row>
    <row r="118" spans="2:9">
      <c r="B118" s="110" t="s">
        <v>17</v>
      </c>
      <c r="C118" s="131">
        <v>43927924.670000002</v>
      </c>
      <c r="D118" s="131">
        <v>-168040.71000000101</v>
      </c>
      <c r="E118" s="131"/>
      <c r="F118" s="110" t="s">
        <v>17</v>
      </c>
      <c r="G118" s="131">
        <v>46030047.409999996</v>
      </c>
      <c r="H118" s="131">
        <v>-14857921.42</v>
      </c>
      <c r="I118" s="131"/>
    </row>
    <row r="119" spans="2:9">
      <c r="B119" s="110" t="s">
        <v>208</v>
      </c>
      <c r="C119" s="131" t="s">
        <v>184</v>
      </c>
      <c r="D119" s="131">
        <v>39520.86</v>
      </c>
      <c r="E119" s="131"/>
      <c r="F119" s="110" t="s">
        <v>209</v>
      </c>
      <c r="G119" s="131">
        <v>619348.02</v>
      </c>
      <c r="H119" s="131">
        <v>-286843.49</v>
      </c>
      <c r="I119" s="131"/>
    </row>
    <row r="120" spans="2:9">
      <c r="B120" s="110" t="s">
        <v>209</v>
      </c>
      <c r="C120" s="131">
        <v>729785.2</v>
      </c>
      <c r="D120" s="131">
        <v>-41676.879999999997</v>
      </c>
      <c r="E120" s="131"/>
      <c r="F120" s="110" t="s">
        <v>117</v>
      </c>
      <c r="G120" s="131">
        <v>989209.72</v>
      </c>
      <c r="H120" s="131">
        <v>2263070.71</v>
      </c>
      <c r="I120" s="131"/>
    </row>
    <row r="121" spans="2:9">
      <c r="B121" s="110" t="s">
        <v>117</v>
      </c>
      <c r="C121" s="131">
        <v>1315889.3899999999</v>
      </c>
      <c r="D121" s="131">
        <v>1803178.83</v>
      </c>
      <c r="E121" s="131"/>
      <c r="F121" s="110" t="s">
        <v>25</v>
      </c>
      <c r="G121" s="131">
        <v>1903499.01</v>
      </c>
      <c r="H121" s="131" t="s">
        <v>184</v>
      </c>
      <c r="I121" s="131"/>
    </row>
    <row r="122" spans="2:9">
      <c r="B122" s="110" t="s">
        <v>25</v>
      </c>
      <c r="C122" s="131">
        <v>1447891.98</v>
      </c>
      <c r="D122" s="131" t="s">
        <v>184</v>
      </c>
      <c r="E122" s="131"/>
      <c r="F122" s="110"/>
      <c r="G122" s="131"/>
      <c r="H122" s="131"/>
      <c r="I122" s="131"/>
    </row>
    <row r="123" spans="2:9">
      <c r="B123" s="112"/>
      <c r="C123" s="139"/>
      <c r="D123" s="112"/>
      <c r="E123" s="112"/>
      <c r="F123" s="112"/>
      <c r="G123" s="112"/>
      <c r="H123" s="112"/>
      <c r="I123" s="131"/>
    </row>
    <row r="124" spans="2:9">
      <c r="B124" s="110"/>
      <c r="C124" s="131"/>
      <c r="D124" s="131"/>
      <c r="E124" s="131"/>
      <c r="F124" s="110"/>
      <c r="G124" s="131"/>
      <c r="H124" s="131"/>
      <c r="I124" s="131"/>
    </row>
    <row r="125" spans="2:9" ht="12.75" customHeight="1">
      <c r="B125" s="110"/>
      <c r="C125" s="131"/>
      <c r="D125" s="131"/>
      <c r="E125" s="131"/>
      <c r="F125" s="110"/>
      <c r="G125" s="131"/>
      <c r="H125" s="131"/>
      <c r="I125" s="131"/>
    </row>
    <row r="126" spans="2:9">
      <c r="B126" s="140"/>
      <c r="C126" s="140"/>
      <c r="D126" s="140"/>
    </row>
    <row r="127" spans="2:9">
      <c r="B127" s="109"/>
      <c r="C127" s="141">
        <v>2017</v>
      </c>
      <c r="D127" s="141">
        <v>2016</v>
      </c>
    </row>
    <row r="128" spans="2:9">
      <c r="B128" s="109"/>
      <c r="C128" s="109" t="s">
        <v>215</v>
      </c>
      <c r="D128" s="109" t="s">
        <v>215</v>
      </c>
    </row>
    <row r="129" spans="2:16">
      <c r="B129" s="142" t="s">
        <v>213</v>
      </c>
      <c r="C129" s="131">
        <v>931.50329999999997</v>
      </c>
      <c r="D129" s="131">
        <v>830.75559999999996</v>
      </c>
    </row>
    <row r="130" spans="2:16">
      <c r="B130" s="142" t="s">
        <v>143</v>
      </c>
      <c r="C130" s="131">
        <v>188.121621</v>
      </c>
      <c r="D130" s="131">
        <v>207.92772299999999</v>
      </c>
    </row>
    <row r="131" spans="2:16">
      <c r="B131" s="142" t="s">
        <v>3</v>
      </c>
      <c r="C131" s="131">
        <v>334.30099999999999</v>
      </c>
      <c r="D131" s="131">
        <v>329.94529999999997</v>
      </c>
    </row>
    <row r="132" spans="2:16">
      <c r="B132" s="142" t="s">
        <v>144</v>
      </c>
      <c r="C132" s="131">
        <v>142.44479999999999</v>
      </c>
      <c r="D132" s="131">
        <v>145.52760000000001</v>
      </c>
    </row>
    <row r="133" spans="2:16">
      <c r="B133" s="143" t="s">
        <v>214</v>
      </c>
      <c r="C133" s="144">
        <v>118.3703</v>
      </c>
      <c r="D133" s="144">
        <v>117.8952</v>
      </c>
    </row>
    <row r="135" spans="2:16">
      <c r="B135" s="107" t="s">
        <v>247</v>
      </c>
    </row>
    <row r="136" spans="2:16">
      <c r="B136" s="141"/>
      <c r="C136" s="141" t="s">
        <v>32</v>
      </c>
      <c r="D136" s="141" t="s">
        <v>125</v>
      </c>
      <c r="E136" s="141" t="s">
        <v>125</v>
      </c>
      <c r="F136" s="141" t="s">
        <v>125</v>
      </c>
      <c r="G136" s="141" t="s">
        <v>125</v>
      </c>
      <c r="H136" s="141" t="s">
        <v>125</v>
      </c>
      <c r="I136" s="141" t="s">
        <v>125</v>
      </c>
      <c r="J136" s="141" t="s">
        <v>125</v>
      </c>
      <c r="K136" s="141" t="s">
        <v>125</v>
      </c>
      <c r="L136" s="141" t="s">
        <v>125</v>
      </c>
      <c r="M136" s="141" t="s">
        <v>125</v>
      </c>
      <c r="N136" s="141" t="s">
        <v>125</v>
      </c>
      <c r="O136" s="141" t="s">
        <v>125</v>
      </c>
      <c r="P136" s="141" t="s">
        <v>125</v>
      </c>
    </row>
    <row r="137" spans="2:16">
      <c r="B137" s="141"/>
      <c r="C137" s="141" t="s">
        <v>122</v>
      </c>
      <c r="D137" s="141" t="s">
        <v>210</v>
      </c>
      <c r="E137" s="141" t="s">
        <v>216</v>
      </c>
      <c r="F137" s="141" t="s">
        <v>217</v>
      </c>
      <c r="G137" s="141" t="s">
        <v>218</v>
      </c>
      <c r="H137" s="141" t="s">
        <v>219</v>
      </c>
      <c r="I137" s="141" t="s">
        <v>220</v>
      </c>
      <c r="J137" s="141" t="s">
        <v>221</v>
      </c>
      <c r="K137" s="141" t="s">
        <v>222</v>
      </c>
      <c r="L137" s="141" t="s">
        <v>223</v>
      </c>
      <c r="M137" s="141" t="s">
        <v>224</v>
      </c>
      <c r="N137" s="141" t="s">
        <v>104</v>
      </c>
      <c r="O137" s="141" t="s">
        <v>225</v>
      </c>
      <c r="P137" s="141" t="s">
        <v>199</v>
      </c>
    </row>
    <row r="138" spans="2:16">
      <c r="B138" s="141" t="s">
        <v>126</v>
      </c>
      <c r="C138" s="141" t="s">
        <v>127</v>
      </c>
      <c r="D138" s="141" t="s">
        <v>6</v>
      </c>
      <c r="E138" s="141" t="s">
        <v>7</v>
      </c>
      <c r="F138" s="141" t="s">
        <v>8</v>
      </c>
      <c r="G138" s="141" t="s">
        <v>7</v>
      </c>
      <c r="H138" s="141" t="s">
        <v>9</v>
      </c>
      <c r="I138" s="141" t="s">
        <v>9</v>
      </c>
      <c r="J138" s="141" t="s">
        <v>8</v>
      </c>
      <c r="K138" s="141" t="s">
        <v>10</v>
      </c>
      <c r="L138" s="141" t="s">
        <v>11</v>
      </c>
      <c r="M138" s="141" t="s">
        <v>12</v>
      </c>
      <c r="N138" s="141" t="s">
        <v>13</v>
      </c>
      <c r="O138" s="141" t="s">
        <v>5</v>
      </c>
      <c r="P138" s="141" t="s">
        <v>6</v>
      </c>
    </row>
    <row r="139" spans="2:16">
      <c r="B139" s="110" t="s">
        <v>226</v>
      </c>
      <c r="C139" s="110" t="s">
        <v>22</v>
      </c>
      <c r="D139" s="131">
        <v>336</v>
      </c>
      <c r="E139" s="131">
        <v>3584.5</v>
      </c>
      <c r="F139" s="131">
        <v>1458</v>
      </c>
      <c r="G139" s="131">
        <v>8664.2000000000007</v>
      </c>
      <c r="H139" s="131">
        <v>0</v>
      </c>
      <c r="I139" s="131">
        <v>544</v>
      </c>
      <c r="J139" s="131">
        <v>0</v>
      </c>
      <c r="K139" s="131">
        <v>0</v>
      </c>
      <c r="L139" s="131">
        <v>0</v>
      </c>
      <c r="M139" s="131">
        <v>240</v>
      </c>
      <c r="N139" s="131">
        <v>1160</v>
      </c>
      <c r="O139" s="131">
        <v>0</v>
      </c>
      <c r="P139" s="131">
        <v>712.6</v>
      </c>
    </row>
    <row r="140" spans="2:16">
      <c r="B140" s="110" t="s">
        <v>226</v>
      </c>
      <c r="C140" s="110" t="s">
        <v>227</v>
      </c>
      <c r="D140" s="131">
        <v>286805.7</v>
      </c>
      <c r="E140" s="131">
        <v>426186</v>
      </c>
      <c r="F140" s="131">
        <v>456275.7</v>
      </c>
      <c r="G140" s="131">
        <v>418905</v>
      </c>
      <c r="H140" s="131">
        <v>206083.6</v>
      </c>
      <c r="I140" s="131">
        <v>157445</v>
      </c>
      <c r="J140" s="131">
        <v>238113.9</v>
      </c>
      <c r="K140" s="131">
        <v>177358.6</v>
      </c>
      <c r="L140" s="131">
        <v>91594.1</v>
      </c>
      <c r="M140" s="131">
        <v>76065.2</v>
      </c>
      <c r="N140" s="131">
        <v>91091.6</v>
      </c>
      <c r="O140" s="131">
        <v>35729</v>
      </c>
      <c r="P140" s="131">
        <v>198516.2</v>
      </c>
    </row>
    <row r="141" spans="2:16">
      <c r="B141" s="110" t="s">
        <v>226</v>
      </c>
      <c r="C141" s="110" t="s">
        <v>26</v>
      </c>
      <c r="D141" s="131">
        <v>576496</v>
      </c>
      <c r="E141" s="131">
        <v>803574</v>
      </c>
      <c r="F141" s="131">
        <v>709097</v>
      </c>
      <c r="G141" s="131">
        <v>894330.4</v>
      </c>
      <c r="H141" s="131">
        <v>917663.8</v>
      </c>
      <c r="I141" s="131">
        <v>927968.4</v>
      </c>
      <c r="J141" s="131">
        <v>928531.9</v>
      </c>
      <c r="K141" s="131">
        <v>907062.2</v>
      </c>
      <c r="L141" s="131">
        <v>657310.6</v>
      </c>
      <c r="M141" s="131">
        <v>577468</v>
      </c>
      <c r="N141" s="131">
        <v>640964.5</v>
      </c>
      <c r="O141" s="131">
        <v>696156.2</v>
      </c>
      <c r="P141" s="131">
        <v>665095.19999999995</v>
      </c>
    </row>
    <row r="142" spans="2:16">
      <c r="B142" s="110" t="s">
        <v>226</v>
      </c>
      <c r="C142" s="110" t="s">
        <v>228</v>
      </c>
      <c r="D142" s="131">
        <v>0</v>
      </c>
      <c r="E142" s="131">
        <v>18068.099999999999</v>
      </c>
      <c r="F142" s="131">
        <v>1030.5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</row>
    <row r="143" spans="2:16">
      <c r="B143" s="110" t="s">
        <v>226</v>
      </c>
      <c r="C143" s="110" t="s">
        <v>229</v>
      </c>
      <c r="D143" s="131">
        <v>0</v>
      </c>
      <c r="E143" s="131">
        <v>0</v>
      </c>
      <c r="F143" s="131">
        <v>200</v>
      </c>
      <c r="G143" s="131">
        <v>0</v>
      </c>
      <c r="H143" s="131">
        <v>1217</v>
      </c>
      <c r="I143" s="131">
        <v>7584</v>
      </c>
      <c r="J143" s="131">
        <v>7932.8</v>
      </c>
      <c r="K143" s="131">
        <v>0</v>
      </c>
      <c r="L143" s="131">
        <v>23959.3</v>
      </c>
      <c r="M143" s="131">
        <v>0</v>
      </c>
      <c r="N143" s="131">
        <v>0</v>
      </c>
      <c r="O143" s="131">
        <v>0</v>
      </c>
      <c r="P143" s="131">
        <v>139.6</v>
      </c>
    </row>
    <row r="144" spans="2:16">
      <c r="B144" s="110" t="s">
        <v>226</v>
      </c>
      <c r="C144" s="110" t="s">
        <v>0</v>
      </c>
      <c r="D144" s="131">
        <v>863637.7</v>
      </c>
      <c r="E144" s="131">
        <v>1251412.6000000001</v>
      </c>
      <c r="F144" s="131">
        <v>1168061.2</v>
      </c>
      <c r="G144" s="131">
        <v>1321899.6000000001</v>
      </c>
      <c r="H144" s="131">
        <v>1124964.3999999999</v>
      </c>
      <c r="I144" s="131">
        <v>1093541.3999999999</v>
      </c>
      <c r="J144" s="131">
        <v>1174578.6000000001</v>
      </c>
      <c r="K144" s="131">
        <v>1084420.8</v>
      </c>
      <c r="L144" s="131">
        <v>772864</v>
      </c>
      <c r="M144" s="131">
        <v>653773.19999999995</v>
      </c>
      <c r="N144" s="131">
        <v>733216.1</v>
      </c>
      <c r="O144" s="131">
        <v>731885.2</v>
      </c>
      <c r="P144" s="131">
        <v>864463.6</v>
      </c>
    </row>
    <row r="145" spans="2:16">
      <c r="B145" s="110" t="s">
        <v>230</v>
      </c>
      <c r="C145" s="110" t="s">
        <v>22</v>
      </c>
      <c r="D145" s="131">
        <v>0</v>
      </c>
      <c r="E145" s="131">
        <v>3827.5</v>
      </c>
      <c r="F145" s="131">
        <v>1751.4</v>
      </c>
      <c r="G145" s="131">
        <v>1360.8</v>
      </c>
      <c r="H145" s="131">
        <v>922</v>
      </c>
      <c r="I145" s="131">
        <v>0</v>
      </c>
      <c r="J145" s="131">
        <v>2892.8</v>
      </c>
      <c r="K145" s="131">
        <v>3920</v>
      </c>
      <c r="L145" s="131">
        <v>24</v>
      </c>
      <c r="M145" s="131">
        <v>0</v>
      </c>
      <c r="N145" s="131">
        <v>1049.3</v>
      </c>
      <c r="O145" s="131">
        <v>0</v>
      </c>
      <c r="P145" s="131">
        <v>1026.5</v>
      </c>
    </row>
    <row r="146" spans="2:16">
      <c r="B146" s="110" t="s">
        <v>230</v>
      </c>
      <c r="C146" s="110" t="s">
        <v>231</v>
      </c>
      <c r="D146" s="131">
        <v>1032.5999999999999</v>
      </c>
      <c r="E146" s="131">
        <v>829.1</v>
      </c>
      <c r="F146" s="131">
        <v>135</v>
      </c>
      <c r="G146" s="131">
        <v>18605.400000000001</v>
      </c>
      <c r="H146" s="131">
        <v>366.7</v>
      </c>
      <c r="I146" s="131">
        <v>0</v>
      </c>
      <c r="J146" s="131">
        <v>0</v>
      </c>
      <c r="K146" s="131">
        <v>0</v>
      </c>
      <c r="L146" s="131">
        <v>856</v>
      </c>
      <c r="M146" s="131">
        <v>0</v>
      </c>
      <c r="N146" s="131">
        <v>0</v>
      </c>
      <c r="O146" s="131">
        <v>2763.2</v>
      </c>
      <c r="P146" s="131">
        <v>6933.6</v>
      </c>
    </row>
    <row r="147" spans="2:16">
      <c r="B147" s="110" t="s">
        <v>230</v>
      </c>
      <c r="C147" s="110" t="s">
        <v>227</v>
      </c>
      <c r="D147" s="131">
        <v>2280</v>
      </c>
      <c r="E147" s="131">
        <v>0</v>
      </c>
      <c r="F147" s="131">
        <v>0</v>
      </c>
      <c r="G147" s="131">
        <v>0</v>
      </c>
      <c r="H147" s="131">
        <v>294</v>
      </c>
      <c r="I147" s="131">
        <v>11178.1</v>
      </c>
      <c r="J147" s="131">
        <v>4145.2</v>
      </c>
      <c r="K147" s="131">
        <v>2530</v>
      </c>
      <c r="L147" s="131">
        <v>15307.2</v>
      </c>
      <c r="M147" s="131">
        <v>2438</v>
      </c>
      <c r="N147" s="131">
        <v>0</v>
      </c>
      <c r="O147" s="131">
        <v>0</v>
      </c>
      <c r="P147" s="131">
        <v>58033.7</v>
      </c>
    </row>
    <row r="148" spans="2:16">
      <c r="B148" s="110" t="s">
        <v>230</v>
      </c>
      <c r="C148" s="110" t="s">
        <v>26</v>
      </c>
      <c r="D148" s="131">
        <v>1800</v>
      </c>
      <c r="E148" s="131">
        <v>0</v>
      </c>
      <c r="F148" s="131">
        <v>0</v>
      </c>
      <c r="G148" s="131">
        <v>0</v>
      </c>
      <c r="H148" s="131">
        <v>4100.8</v>
      </c>
      <c r="I148" s="131">
        <v>0</v>
      </c>
      <c r="J148" s="131">
        <v>0</v>
      </c>
      <c r="K148" s="131">
        <v>0</v>
      </c>
      <c r="L148" s="131">
        <v>30295.599999999999</v>
      </c>
      <c r="M148" s="131">
        <v>3386</v>
      </c>
      <c r="N148" s="131">
        <v>0</v>
      </c>
      <c r="O148" s="131">
        <v>400</v>
      </c>
      <c r="P148" s="131">
        <v>0</v>
      </c>
    </row>
    <row r="149" spans="2:16">
      <c r="B149" s="110" t="s">
        <v>230</v>
      </c>
      <c r="C149" s="110" t="s">
        <v>232</v>
      </c>
      <c r="D149" s="131">
        <v>0</v>
      </c>
      <c r="E149" s="131">
        <v>14998.4</v>
      </c>
      <c r="F149" s="131">
        <v>5477.7</v>
      </c>
      <c r="G149" s="131">
        <v>822</v>
      </c>
      <c r="H149" s="131">
        <v>2338.3000000000002</v>
      </c>
      <c r="I149" s="131">
        <v>16656.7</v>
      </c>
      <c r="J149" s="131">
        <v>11379.4</v>
      </c>
      <c r="K149" s="131">
        <v>2970.9</v>
      </c>
      <c r="L149" s="131">
        <v>607.6</v>
      </c>
      <c r="M149" s="131">
        <v>274</v>
      </c>
      <c r="N149" s="131">
        <v>0</v>
      </c>
      <c r="O149" s="131">
        <v>0</v>
      </c>
      <c r="P149" s="131">
        <v>988.1</v>
      </c>
    </row>
    <row r="150" spans="2:16">
      <c r="B150" s="110" t="s">
        <v>230</v>
      </c>
      <c r="C150" s="110" t="s">
        <v>233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95.9</v>
      </c>
      <c r="L150" s="131">
        <v>0</v>
      </c>
      <c r="M150" s="131">
        <v>0</v>
      </c>
      <c r="N150" s="131">
        <v>0</v>
      </c>
      <c r="O150" s="131">
        <v>0</v>
      </c>
      <c r="P150" s="131">
        <v>57.8</v>
      </c>
    </row>
    <row r="151" spans="2:16">
      <c r="B151" s="110" t="s">
        <v>230</v>
      </c>
      <c r="C151" s="110" t="s">
        <v>234</v>
      </c>
      <c r="D151" s="131">
        <v>667.3</v>
      </c>
      <c r="E151" s="131">
        <v>168</v>
      </c>
      <c r="F151" s="131">
        <v>0</v>
      </c>
      <c r="G151" s="131">
        <v>899</v>
      </c>
      <c r="H151" s="131">
        <v>4944.8999999999996</v>
      </c>
      <c r="I151" s="131">
        <v>0</v>
      </c>
      <c r="J151" s="131">
        <v>0</v>
      </c>
      <c r="K151" s="131">
        <v>0</v>
      </c>
      <c r="L151" s="131">
        <v>0</v>
      </c>
      <c r="M151" s="131">
        <v>117.8</v>
      </c>
      <c r="N151" s="131">
        <v>2368.1</v>
      </c>
      <c r="O151" s="131">
        <v>0</v>
      </c>
      <c r="P151" s="131">
        <v>0</v>
      </c>
    </row>
    <row r="152" spans="2:16">
      <c r="B152" s="110" t="s">
        <v>230</v>
      </c>
      <c r="C152" s="110" t="s">
        <v>235</v>
      </c>
      <c r="D152" s="131">
        <v>0</v>
      </c>
      <c r="E152" s="131">
        <v>0</v>
      </c>
      <c r="F152" s="131">
        <v>0</v>
      </c>
      <c r="G152" s="131">
        <v>0</v>
      </c>
      <c r="H152" s="131">
        <v>0</v>
      </c>
      <c r="I152" s="131">
        <v>91.5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</row>
    <row r="153" spans="2:16">
      <c r="B153" s="110" t="s">
        <v>230</v>
      </c>
      <c r="C153" s="110" t="s">
        <v>0</v>
      </c>
      <c r="D153" s="131">
        <v>5779.9</v>
      </c>
      <c r="E153" s="131">
        <v>19823</v>
      </c>
      <c r="F153" s="131">
        <v>7364.1</v>
      </c>
      <c r="G153" s="131">
        <v>21687.200000000001</v>
      </c>
      <c r="H153" s="131">
        <v>12966.7</v>
      </c>
      <c r="I153" s="131">
        <v>27926.3</v>
      </c>
      <c r="J153" s="131">
        <v>18417.400000000001</v>
      </c>
      <c r="K153" s="131">
        <v>9516.7999999999993</v>
      </c>
      <c r="L153" s="131">
        <v>47090.400000000001</v>
      </c>
      <c r="M153" s="131">
        <v>6215.8</v>
      </c>
      <c r="N153" s="131">
        <v>3417.4</v>
      </c>
      <c r="O153" s="131">
        <v>3163.2</v>
      </c>
      <c r="P153" s="131">
        <v>67039.7</v>
      </c>
    </row>
    <row r="154" spans="2:16">
      <c r="B154" s="110"/>
      <c r="C154" s="11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10"/>
      <c r="C155" s="11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10"/>
      <c r="C156" s="11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10"/>
      <c r="C157" s="110"/>
      <c r="D157" s="131">
        <v>88.618135648779571</v>
      </c>
      <c r="E157" s="131">
        <v>73.17670591617825</v>
      </c>
      <c r="F157" s="131">
        <v>65.421445049283378</v>
      </c>
      <c r="G157" s="131">
        <v>67.422804182707978</v>
      </c>
      <c r="H157" s="131">
        <v>69.294106506837011</v>
      </c>
      <c r="I157" s="131">
        <v>71.028984581653702</v>
      </c>
      <c r="J157" s="131">
        <v>74.006406740255613</v>
      </c>
      <c r="K157" s="131">
        <v>79.845896002732516</v>
      </c>
      <c r="L157" s="131">
        <v>102.17392832374129</v>
      </c>
      <c r="M157" s="131">
        <v>80.507212944794929</v>
      </c>
      <c r="N157" s="131">
        <v>89.322719495657552</v>
      </c>
      <c r="O157" s="131">
        <v>114.1225159492226</v>
      </c>
      <c r="P157" s="131">
        <v>92.084451201878252</v>
      </c>
    </row>
    <row r="158" spans="2:16">
      <c r="B158" s="112"/>
      <c r="C158" s="112"/>
      <c r="D158" s="144">
        <v>38.534843163376529</v>
      </c>
      <c r="E158" s="144">
        <v>28.64172710673154</v>
      </c>
      <c r="F158" s="144">
        <v>24.03285296545549</v>
      </c>
      <c r="G158" s="144">
        <v>35.666043103766278</v>
      </c>
      <c r="H158" s="144">
        <v>40.179360635508253</v>
      </c>
      <c r="I158" s="144">
        <v>42.703347382216762</v>
      </c>
      <c r="J158" s="144">
        <v>41.243095938531482</v>
      </c>
      <c r="K158" s="144">
        <v>45.042061407195703</v>
      </c>
      <c r="L158" s="144">
        <v>59.241832602451012</v>
      </c>
      <c r="M158" s="144">
        <v>66.158074584124321</v>
      </c>
      <c r="N158" s="144">
        <v>63.394308894942547</v>
      </c>
      <c r="O158" s="144">
        <v>87.216925897824993</v>
      </c>
      <c r="P158" s="144">
        <v>59.043409800461518</v>
      </c>
    </row>
    <row r="159" spans="2:16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5"/>
      <c r="C160" s="110"/>
      <c r="D160" s="110"/>
      <c r="E160" s="110" t="s">
        <v>87</v>
      </c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5"/>
      <c r="C161" s="110" t="s">
        <v>79</v>
      </c>
      <c r="D161" s="110"/>
      <c r="E161" s="175">
        <f>(P144-D144)/D144</f>
        <v>9.5630378340364635E-4</v>
      </c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5"/>
      <c r="C162" s="110" t="s">
        <v>80</v>
      </c>
      <c r="D162" s="110"/>
      <c r="E162" s="175">
        <f>(P153-D153)/D153</f>
        <v>10.598764684510112</v>
      </c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5"/>
      <c r="C163" s="110" t="s">
        <v>81</v>
      </c>
      <c r="D163" s="110"/>
      <c r="E163" s="175">
        <f>((P144+P153)-(D144+D153))/(D144+D153)</f>
        <v>7.1410677676642331E-2</v>
      </c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5"/>
      <c r="C164" s="110" t="s">
        <v>82</v>
      </c>
      <c r="D164" s="110"/>
      <c r="E164" s="175">
        <f>(P157-D157)/D157</f>
        <v>3.9115193833875454E-2</v>
      </c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5"/>
      <c r="C165" s="110" t="s">
        <v>83</v>
      </c>
      <c r="D165" s="110"/>
      <c r="E165" s="175">
        <f>(P158-D158)/D158</f>
        <v>0.53220838476322929</v>
      </c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</sheetData>
  <mergeCells count="16">
    <mergeCell ref="G60:G61"/>
    <mergeCell ref="H60:H61"/>
    <mergeCell ref="I60:I61"/>
    <mergeCell ref="J60:J61"/>
    <mergeCell ref="C60:C61"/>
    <mergeCell ref="D60:D61"/>
    <mergeCell ref="E60:E61"/>
    <mergeCell ref="F60:F61"/>
    <mergeCell ref="G43:G44"/>
    <mergeCell ref="H43:H44"/>
    <mergeCell ref="I43:I44"/>
    <mergeCell ref="J43:J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P177"/>
  <sheetViews>
    <sheetView showGridLines="0" zoomScale="85" zoomScaleNormal="85" workbookViewId="0">
      <selection activeCell="C8" sqref="C8"/>
    </sheetView>
  </sheetViews>
  <sheetFormatPr baseColWidth="10" defaultRowHeight="12.75"/>
  <cols>
    <col min="1" max="1" width="11.42578125" style="108"/>
    <col min="2" max="2" width="23.42578125" style="108" bestFit="1" customWidth="1"/>
    <col min="3" max="3" width="19.28515625" style="108" bestFit="1" customWidth="1"/>
    <col min="4" max="16384" width="11.42578125" style="108"/>
  </cols>
  <sheetData>
    <row r="2" spans="2:15">
      <c r="B2" s="107" t="s">
        <v>141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>
      <c r="B3" s="109" t="s">
        <v>6</v>
      </c>
      <c r="C3" s="109" t="s">
        <v>7</v>
      </c>
      <c r="D3" s="109" t="s">
        <v>8</v>
      </c>
      <c r="E3" s="109" t="s">
        <v>7</v>
      </c>
      <c r="F3" s="109" t="s">
        <v>9</v>
      </c>
      <c r="G3" s="109" t="s">
        <v>9</v>
      </c>
      <c r="H3" s="109" t="s">
        <v>8</v>
      </c>
      <c r="I3" s="109" t="s">
        <v>10</v>
      </c>
      <c r="J3" s="109" t="s">
        <v>11</v>
      </c>
      <c r="K3" s="109" t="s">
        <v>12</v>
      </c>
      <c r="L3" s="109" t="s">
        <v>13</v>
      </c>
      <c r="M3" s="109" t="s">
        <v>5</v>
      </c>
      <c r="N3" s="109" t="s">
        <v>6</v>
      </c>
      <c r="O3" s="109"/>
    </row>
    <row r="4" spans="2:15">
      <c r="B4" s="107" t="s">
        <v>122</v>
      </c>
      <c r="C4" s="107" t="s">
        <v>210</v>
      </c>
      <c r="D4" s="107" t="s">
        <v>216</v>
      </c>
      <c r="E4" s="107" t="s">
        <v>217</v>
      </c>
      <c r="F4" s="107" t="s">
        <v>218</v>
      </c>
      <c r="G4" s="107" t="s">
        <v>219</v>
      </c>
      <c r="H4" s="107" t="s">
        <v>220</v>
      </c>
      <c r="I4" s="107" t="s">
        <v>221</v>
      </c>
      <c r="J4" s="107" t="s">
        <v>222</v>
      </c>
      <c r="K4" s="107" t="s">
        <v>223</v>
      </c>
      <c r="L4" s="107" t="s">
        <v>224</v>
      </c>
      <c r="M4" s="107" t="s">
        <v>104</v>
      </c>
      <c r="N4" s="107" t="s">
        <v>225</v>
      </c>
      <c r="O4" s="107" t="s">
        <v>199</v>
      </c>
    </row>
    <row r="5" spans="2:15">
      <c r="B5" s="109" t="s">
        <v>32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2:15">
      <c r="B6" s="110" t="s">
        <v>128</v>
      </c>
      <c r="C6" s="111">
        <v>675.1422413793</v>
      </c>
      <c r="D6" s="111">
        <v>685.40646029610002</v>
      </c>
      <c r="E6" s="111">
        <v>677.2152777778</v>
      </c>
      <c r="F6" s="111">
        <v>666.32795698919995</v>
      </c>
      <c r="G6" s="111">
        <v>664.29166666670005</v>
      </c>
      <c r="H6" s="111">
        <v>686.78763440859996</v>
      </c>
      <c r="I6" s="111">
        <v>694.56048387099997</v>
      </c>
      <c r="J6" s="111">
        <v>691.88888888890006</v>
      </c>
      <c r="K6" s="111">
        <v>669.59060402679995</v>
      </c>
      <c r="L6" s="111">
        <v>686.04444444440003</v>
      </c>
      <c r="M6" s="111">
        <v>698.83602150540003</v>
      </c>
      <c r="N6" s="111">
        <v>712.52016129030005</v>
      </c>
      <c r="O6" s="111">
        <v>690.06696428570001</v>
      </c>
    </row>
    <row r="7" spans="2:15">
      <c r="B7" s="110" t="s">
        <v>129</v>
      </c>
      <c r="C7" s="111">
        <v>509.4827586207</v>
      </c>
      <c r="D7" s="111">
        <v>516.16419919249995</v>
      </c>
      <c r="E7" s="111">
        <v>505.7013888889</v>
      </c>
      <c r="F7" s="111">
        <v>499.50134408600002</v>
      </c>
      <c r="G7" s="111">
        <v>497.6458333333</v>
      </c>
      <c r="H7" s="111">
        <v>513.09139784950003</v>
      </c>
      <c r="I7" s="111">
        <v>509.94758064519999</v>
      </c>
      <c r="J7" s="111">
        <v>514.5902777778</v>
      </c>
      <c r="K7" s="111">
        <v>502.7570469799</v>
      </c>
      <c r="L7" s="111">
        <v>509.3888888889</v>
      </c>
      <c r="M7" s="111">
        <v>515.34946236559995</v>
      </c>
      <c r="N7" s="111">
        <v>520.03225806449996</v>
      </c>
      <c r="O7" s="111">
        <v>516.89732142859998</v>
      </c>
    </row>
    <row r="8" spans="2:15">
      <c r="B8" s="112" t="s">
        <v>130</v>
      </c>
      <c r="C8" s="182">
        <v>25.368966912000001</v>
      </c>
      <c r="D8" s="182">
        <v>22.0125371233</v>
      </c>
      <c r="E8" s="182">
        <v>18.950403146599999</v>
      </c>
      <c r="F8" s="182">
        <v>18.616068699100001</v>
      </c>
      <c r="G8" s="182">
        <v>11.4989193337</v>
      </c>
      <c r="H8" s="182">
        <v>11.051812032999999</v>
      </c>
      <c r="I8" s="182">
        <v>10.705185459200001</v>
      </c>
      <c r="J8" s="182">
        <v>8.6965031858999993</v>
      </c>
      <c r="K8" s="182">
        <v>10.667894227</v>
      </c>
      <c r="L8" s="182">
        <v>15.1275113394</v>
      </c>
      <c r="M8" s="182">
        <v>13.988426286899999</v>
      </c>
      <c r="N8" s="182">
        <v>19.8404244623</v>
      </c>
      <c r="O8" s="182">
        <v>15.125065320299999</v>
      </c>
    </row>
    <row r="9" spans="2:1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</row>
    <row r="11" spans="2:15">
      <c r="B11" s="110"/>
      <c r="C11" s="110" t="s">
        <v>86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2:15">
      <c r="B12" s="110" t="s">
        <v>68</v>
      </c>
      <c r="C12" s="175">
        <f>(O6-C6)/C6</f>
        <v>2.2106042240682709E-2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5">
      <c r="B13" s="110" t="s">
        <v>15</v>
      </c>
      <c r="C13" s="175">
        <f>(O8-C8)/C8</f>
        <v>-0.40379656086249388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2:1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2:15">
      <c r="B15" s="107" t="s">
        <v>142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2:15">
      <c r="B16" s="109" t="s">
        <v>131</v>
      </c>
      <c r="C16" s="118">
        <v>2016</v>
      </c>
      <c r="D16" s="118">
        <v>2016</v>
      </c>
      <c r="E16" s="118">
        <v>2016</v>
      </c>
      <c r="F16" s="118">
        <v>2016</v>
      </c>
      <c r="G16" s="118">
        <v>2016</v>
      </c>
      <c r="H16" s="118">
        <v>2016</v>
      </c>
      <c r="I16" s="118">
        <v>2016</v>
      </c>
      <c r="J16" s="118">
        <v>2016</v>
      </c>
      <c r="K16" s="118">
        <v>2016</v>
      </c>
      <c r="L16" s="118">
        <v>2016</v>
      </c>
      <c r="M16" s="118">
        <v>2016</v>
      </c>
      <c r="N16" s="118">
        <v>2017</v>
      </c>
      <c r="O16" s="118">
        <v>2017</v>
      </c>
    </row>
    <row r="17" spans="2:15">
      <c r="B17" s="107" t="s">
        <v>122</v>
      </c>
      <c r="C17" s="107" t="s">
        <v>210</v>
      </c>
      <c r="D17" s="107" t="s">
        <v>216</v>
      </c>
      <c r="E17" s="107" t="s">
        <v>217</v>
      </c>
      <c r="F17" s="107" t="s">
        <v>218</v>
      </c>
      <c r="G17" s="107" t="s">
        <v>219</v>
      </c>
      <c r="H17" s="107" t="s">
        <v>220</v>
      </c>
      <c r="I17" s="107" t="s">
        <v>221</v>
      </c>
      <c r="J17" s="107" t="s">
        <v>222</v>
      </c>
      <c r="K17" s="107" t="s">
        <v>223</v>
      </c>
      <c r="L17" s="107" t="s">
        <v>224</v>
      </c>
      <c r="M17" s="107" t="s">
        <v>104</v>
      </c>
      <c r="N17" s="107" t="s">
        <v>225</v>
      </c>
      <c r="O17" s="107" t="s">
        <v>199</v>
      </c>
    </row>
    <row r="18" spans="2:15">
      <c r="B18" s="109" t="s">
        <v>32</v>
      </c>
      <c r="C18" s="109" t="s">
        <v>6</v>
      </c>
      <c r="D18" s="109" t="s">
        <v>7</v>
      </c>
      <c r="E18" s="109" t="s">
        <v>8</v>
      </c>
      <c r="F18" s="109" t="s">
        <v>7</v>
      </c>
      <c r="G18" s="109" t="s">
        <v>9</v>
      </c>
      <c r="H18" s="109" t="s">
        <v>9</v>
      </c>
      <c r="I18" s="109" t="s">
        <v>8</v>
      </c>
      <c r="J18" s="109" t="s">
        <v>10</v>
      </c>
      <c r="K18" s="109" t="s">
        <v>11</v>
      </c>
      <c r="L18" s="109" t="s">
        <v>12</v>
      </c>
      <c r="M18" s="109" t="s">
        <v>13</v>
      </c>
      <c r="N18" s="109" t="s">
        <v>5</v>
      </c>
      <c r="O18" s="109" t="s">
        <v>6</v>
      </c>
    </row>
    <row r="19" spans="2:15">
      <c r="B19" s="110" t="s">
        <v>132</v>
      </c>
      <c r="C19" s="111">
        <v>141.67554200000001</v>
      </c>
      <c r="D19" s="111">
        <v>162.74266900000001</v>
      </c>
      <c r="E19" s="111">
        <v>158.010876</v>
      </c>
      <c r="F19" s="111">
        <v>182.30528000000001</v>
      </c>
      <c r="G19" s="111">
        <v>127.443428</v>
      </c>
      <c r="H19" s="111">
        <v>94.842940999999996</v>
      </c>
      <c r="I19" s="111">
        <v>101.251535</v>
      </c>
      <c r="J19" s="111">
        <v>95.450947999999997</v>
      </c>
      <c r="K19" s="111">
        <v>89.660353999999998</v>
      </c>
      <c r="L19" s="111">
        <v>103.079487</v>
      </c>
      <c r="M19" s="111">
        <v>111.652906</v>
      </c>
      <c r="N19" s="111">
        <v>114.09860500000001</v>
      </c>
      <c r="O19" s="111">
        <v>123.06359399999999</v>
      </c>
    </row>
    <row r="20" spans="2:15">
      <c r="B20" s="112" t="s">
        <v>133</v>
      </c>
      <c r="C20" s="113">
        <v>72.172269</v>
      </c>
      <c r="D20" s="113">
        <v>69.477337000000006</v>
      </c>
      <c r="E20" s="113">
        <v>69.237797999999998</v>
      </c>
      <c r="F20" s="113">
        <v>57.735940999999997</v>
      </c>
      <c r="G20" s="113">
        <v>73.081980000000001</v>
      </c>
      <c r="H20" s="113">
        <v>91.860525999999993</v>
      </c>
      <c r="I20" s="113">
        <v>86.754802999999995</v>
      </c>
      <c r="J20" s="113">
        <v>97.600018000000006</v>
      </c>
      <c r="K20" s="113">
        <v>116.44212400000001</v>
      </c>
      <c r="L20" s="113">
        <v>105.77510700000001</v>
      </c>
      <c r="M20" s="113">
        <v>84.597136000000006</v>
      </c>
      <c r="N20" s="113">
        <v>108.041453</v>
      </c>
      <c r="O20" s="113">
        <v>65.058026999999996</v>
      </c>
    </row>
    <row r="21" spans="2:15">
      <c r="B21" s="113"/>
      <c r="C21" s="113">
        <f t="shared" ref="C21:O21" si="0">-C20</f>
        <v>-72.172269</v>
      </c>
      <c r="D21" s="113">
        <f t="shared" si="0"/>
        <v>-69.477337000000006</v>
      </c>
      <c r="E21" s="113">
        <f t="shared" si="0"/>
        <v>-69.237797999999998</v>
      </c>
      <c r="F21" s="113">
        <f t="shared" si="0"/>
        <v>-57.735940999999997</v>
      </c>
      <c r="G21" s="113">
        <f t="shared" si="0"/>
        <v>-73.081980000000001</v>
      </c>
      <c r="H21" s="113">
        <f t="shared" si="0"/>
        <v>-91.860525999999993</v>
      </c>
      <c r="I21" s="113">
        <f t="shared" si="0"/>
        <v>-86.754802999999995</v>
      </c>
      <c r="J21" s="113">
        <f t="shared" si="0"/>
        <v>-97.600018000000006</v>
      </c>
      <c r="K21" s="113">
        <f t="shared" si="0"/>
        <v>-116.44212400000001</v>
      </c>
      <c r="L21" s="113">
        <f t="shared" si="0"/>
        <v>-105.77510700000001</v>
      </c>
      <c r="M21" s="113">
        <f t="shared" si="0"/>
        <v>-84.597136000000006</v>
      </c>
      <c r="N21" s="113">
        <f t="shared" si="0"/>
        <v>-108.041453</v>
      </c>
      <c r="O21" s="113">
        <f t="shared" si="0"/>
        <v>-65.058026999999996</v>
      </c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10" t="s">
        <v>72</v>
      </c>
      <c r="C23" s="180">
        <v>38.562722844568327</v>
      </c>
      <c r="D23" s="180">
        <v>35.379175205735379</v>
      </c>
      <c r="E23" s="180">
        <v>33.68820441195453</v>
      </c>
      <c r="F23" s="180">
        <v>34.957113419863653</v>
      </c>
      <c r="G23" s="180">
        <v>42.795358659059303</v>
      </c>
      <c r="H23" s="180">
        <v>42.778241450779127</v>
      </c>
      <c r="I23" s="180">
        <v>42.113317590691338</v>
      </c>
      <c r="J23" s="180">
        <v>44.897175667652867</v>
      </c>
      <c r="K23" s="180">
        <v>52.98969943839392</v>
      </c>
      <c r="L23" s="180">
        <v>58.889238651333223</v>
      </c>
      <c r="M23" s="180">
        <v>62.754847688424697</v>
      </c>
      <c r="N23" s="180">
        <v>75.307173036865791</v>
      </c>
      <c r="O23" s="180">
        <v>56.121769286211482</v>
      </c>
    </row>
    <row r="24" spans="2:15">
      <c r="B24" s="112" t="s">
        <v>73</v>
      </c>
      <c r="C24" s="181">
        <v>17.34381539258521</v>
      </c>
      <c r="D24" s="181">
        <v>17.10596895790637</v>
      </c>
      <c r="E24" s="181">
        <v>11.68484156587418</v>
      </c>
      <c r="F24" s="181">
        <v>15.77383384121166</v>
      </c>
      <c r="G24" s="181">
        <v>29.03167005053777</v>
      </c>
      <c r="H24" s="181">
        <v>33.197472982029304</v>
      </c>
      <c r="I24" s="181">
        <v>32.055494956285017</v>
      </c>
      <c r="J24" s="181">
        <v>35.148232452170241</v>
      </c>
      <c r="K24" s="181">
        <v>45.464406849878493</v>
      </c>
      <c r="L24" s="181">
        <v>50.752464660706977</v>
      </c>
      <c r="M24" s="181">
        <v>52.399029560527907</v>
      </c>
      <c r="N24" s="181">
        <v>65.800001782649105</v>
      </c>
      <c r="O24" s="181">
        <v>39.86910039555918</v>
      </c>
    </row>
    <row r="25" spans="2:15" ht="15">
      <c r="B25" s="115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0" t="s">
        <v>87</v>
      </c>
    </row>
    <row r="26" spans="2:15" ht="15">
      <c r="B26" s="115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0" t="s">
        <v>71</v>
      </c>
      <c r="N26" s="110"/>
      <c r="O26" s="175">
        <f>(O19-C19)/C19</f>
        <v>-0.1313702262031933</v>
      </c>
    </row>
    <row r="27" spans="2:15" ht="15">
      <c r="B27" s="115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0" t="s">
        <v>70</v>
      </c>
      <c r="N27" s="110"/>
      <c r="O27" s="175">
        <f>(O20-C20)/C20</f>
        <v>-9.8573068279175266E-2</v>
      </c>
    </row>
    <row r="28" spans="2:15" ht="15">
      <c r="B28" s="115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0" t="s">
        <v>76</v>
      </c>
      <c r="N28" s="110"/>
      <c r="O28" s="175">
        <f>((O19+O20)-(C19+C20))/(C19+C20)</f>
        <v>-0.12030139508886534</v>
      </c>
    </row>
    <row r="29" spans="2:15" ht="15">
      <c r="B29" s="115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0" t="s">
        <v>72</v>
      </c>
      <c r="N29" s="110"/>
      <c r="O29" s="175">
        <f>(O23-C23)/C23</f>
        <v>0.45533730884141649</v>
      </c>
    </row>
    <row r="30" spans="2:15" ht="15">
      <c r="B30" s="115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0" t="s">
        <v>73</v>
      </c>
      <c r="N30" s="110"/>
      <c r="O30" s="175">
        <f>(O24-C24)/C24</f>
        <v>1.2987502745563084</v>
      </c>
    </row>
    <row r="32" spans="2:15">
      <c r="B32" s="107" t="s">
        <v>243</v>
      </c>
    </row>
    <row r="33" spans="2:16">
      <c r="B33" s="109"/>
      <c r="C33" s="109" t="s">
        <v>32</v>
      </c>
      <c r="D33" s="109" t="s">
        <v>134</v>
      </c>
      <c r="E33" s="109" t="s">
        <v>134</v>
      </c>
      <c r="F33" s="109" t="s">
        <v>134</v>
      </c>
      <c r="G33" s="109" t="s">
        <v>134</v>
      </c>
      <c r="H33" s="109" t="s">
        <v>134</v>
      </c>
      <c r="I33" s="109" t="s">
        <v>134</v>
      </c>
      <c r="J33" s="109" t="s">
        <v>134</v>
      </c>
      <c r="K33" s="109" t="s">
        <v>134</v>
      </c>
      <c r="L33" s="109" t="s">
        <v>134</v>
      </c>
      <c r="M33" s="109" t="s">
        <v>134</v>
      </c>
      <c r="N33" s="109" t="s">
        <v>134</v>
      </c>
      <c r="O33" s="109" t="s">
        <v>134</v>
      </c>
      <c r="P33" s="109" t="s">
        <v>134</v>
      </c>
    </row>
    <row r="34" spans="2:16">
      <c r="B34" s="109"/>
      <c r="C34" s="109" t="s">
        <v>122</v>
      </c>
      <c r="D34" s="109" t="s">
        <v>210</v>
      </c>
      <c r="E34" s="109" t="s">
        <v>216</v>
      </c>
      <c r="F34" s="109" t="s">
        <v>217</v>
      </c>
      <c r="G34" s="109" t="s">
        <v>218</v>
      </c>
      <c r="H34" s="109" t="s">
        <v>219</v>
      </c>
      <c r="I34" s="109" t="s">
        <v>220</v>
      </c>
      <c r="J34" s="109" t="s">
        <v>221</v>
      </c>
      <c r="K34" s="109" t="s">
        <v>222</v>
      </c>
      <c r="L34" s="109" t="s">
        <v>223</v>
      </c>
      <c r="M34" s="109" t="s">
        <v>224</v>
      </c>
      <c r="N34" s="109" t="s">
        <v>104</v>
      </c>
      <c r="O34" s="109" t="s">
        <v>225</v>
      </c>
      <c r="P34" s="109" t="s">
        <v>199</v>
      </c>
    </row>
    <row r="35" spans="2:16">
      <c r="B35" s="109" t="s">
        <v>126</v>
      </c>
      <c r="C35" s="109" t="s">
        <v>127</v>
      </c>
      <c r="D35" s="109" t="s">
        <v>6</v>
      </c>
      <c r="E35" s="109" t="s">
        <v>7</v>
      </c>
      <c r="F35" s="109" t="s">
        <v>8</v>
      </c>
      <c r="G35" s="109" t="s">
        <v>7</v>
      </c>
      <c r="H35" s="109" t="s">
        <v>9</v>
      </c>
      <c r="I35" s="109" t="s">
        <v>9</v>
      </c>
      <c r="J35" s="109" t="s">
        <v>8</v>
      </c>
      <c r="K35" s="109" t="s">
        <v>10</v>
      </c>
      <c r="L35" s="109" t="s">
        <v>11</v>
      </c>
      <c r="M35" s="109" t="s">
        <v>12</v>
      </c>
      <c r="N35" s="109" t="s">
        <v>13</v>
      </c>
      <c r="O35" s="109" t="s">
        <v>5</v>
      </c>
      <c r="P35" s="109" t="s">
        <v>6</v>
      </c>
    </row>
    <row r="36" spans="2:16">
      <c r="B36" s="110" t="s">
        <v>226</v>
      </c>
      <c r="C36" s="110" t="s">
        <v>236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</row>
    <row r="37" spans="2:16">
      <c r="B37" s="110" t="s">
        <v>226</v>
      </c>
      <c r="C37" s="110" t="s">
        <v>227</v>
      </c>
      <c r="D37" s="120">
        <v>49270.8</v>
      </c>
      <c r="E37" s="120">
        <v>46981.5</v>
      </c>
      <c r="F37" s="120">
        <v>48797.4</v>
      </c>
      <c r="G37" s="120">
        <v>53629.9</v>
      </c>
      <c r="H37" s="120">
        <v>56105.7</v>
      </c>
      <c r="I37" s="120">
        <v>52336</v>
      </c>
      <c r="J37" s="120">
        <v>37334.5</v>
      </c>
      <c r="K37" s="120">
        <v>37698.5</v>
      </c>
      <c r="L37" s="120">
        <v>28157.599999999999</v>
      </c>
      <c r="M37" s="120">
        <v>34938.5</v>
      </c>
      <c r="N37" s="120">
        <v>38367.5</v>
      </c>
      <c r="O37" s="120">
        <v>33693.800000000003</v>
      </c>
      <c r="P37" s="120">
        <v>19518.400000000001</v>
      </c>
    </row>
    <row r="38" spans="2:16">
      <c r="B38" s="110" t="s">
        <v>226</v>
      </c>
      <c r="C38" s="110" t="s">
        <v>26</v>
      </c>
      <c r="D38" s="120">
        <v>49534.1</v>
      </c>
      <c r="E38" s="120">
        <v>51189.9</v>
      </c>
      <c r="F38" s="120">
        <v>57355.9</v>
      </c>
      <c r="G38" s="120">
        <v>65079.6</v>
      </c>
      <c r="H38" s="120">
        <v>88155</v>
      </c>
      <c r="I38" s="120">
        <v>94541.2</v>
      </c>
      <c r="J38" s="120">
        <v>67871</v>
      </c>
      <c r="K38" s="120">
        <v>66682.3</v>
      </c>
      <c r="L38" s="120">
        <v>75179.899999999994</v>
      </c>
      <c r="M38" s="120">
        <v>96462</v>
      </c>
      <c r="N38" s="120">
        <v>66989.600000000006</v>
      </c>
      <c r="O38" s="120">
        <v>71645.3</v>
      </c>
      <c r="P38" s="120">
        <v>30319.3</v>
      </c>
    </row>
    <row r="39" spans="2:16">
      <c r="B39" s="110" t="s">
        <v>226</v>
      </c>
      <c r="C39" s="110" t="s">
        <v>235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2.2000000000000002</v>
      </c>
      <c r="M39" s="120">
        <v>10.5</v>
      </c>
      <c r="N39" s="120">
        <v>22.7</v>
      </c>
      <c r="O39" s="120">
        <v>16.3</v>
      </c>
      <c r="P39" s="120">
        <v>9.6</v>
      </c>
    </row>
    <row r="40" spans="2:16">
      <c r="B40" s="110" t="s">
        <v>226</v>
      </c>
      <c r="C40" s="110" t="s">
        <v>229</v>
      </c>
      <c r="D40" s="120">
        <v>16650.5</v>
      </c>
      <c r="E40" s="120">
        <v>6160.8</v>
      </c>
      <c r="F40" s="120">
        <v>12859</v>
      </c>
      <c r="G40" s="120">
        <v>15177.5</v>
      </c>
      <c r="H40" s="120">
        <v>4098</v>
      </c>
      <c r="I40" s="120">
        <v>1399.6</v>
      </c>
      <c r="J40" s="120">
        <v>1577.6</v>
      </c>
      <c r="K40" s="120">
        <v>1355</v>
      </c>
      <c r="L40" s="120">
        <v>3499.1</v>
      </c>
      <c r="M40" s="120">
        <v>3432.1</v>
      </c>
      <c r="N40" s="120">
        <v>3010.5</v>
      </c>
      <c r="O40" s="120">
        <v>5899.1</v>
      </c>
      <c r="P40" s="120">
        <v>4595.7</v>
      </c>
    </row>
    <row r="41" spans="2:16">
      <c r="B41" s="110" t="s">
        <v>226</v>
      </c>
      <c r="C41" s="110" t="s">
        <v>237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</row>
    <row r="42" spans="2:16">
      <c r="B42" s="110" t="s">
        <v>226</v>
      </c>
      <c r="C42" s="110" t="s">
        <v>232</v>
      </c>
      <c r="D42" s="120">
        <v>0</v>
      </c>
      <c r="E42" s="120">
        <v>0</v>
      </c>
      <c r="F42" s="120">
        <v>204.7</v>
      </c>
      <c r="G42" s="120">
        <v>1551.4</v>
      </c>
      <c r="H42" s="120">
        <v>1765.6</v>
      </c>
      <c r="I42" s="120">
        <v>1952.7</v>
      </c>
      <c r="J42" s="120">
        <v>2939.5</v>
      </c>
      <c r="K42" s="120">
        <v>2661.1</v>
      </c>
      <c r="L42" s="120">
        <v>2164.6999999999998</v>
      </c>
      <c r="M42" s="120">
        <v>3197.2</v>
      </c>
      <c r="N42" s="120">
        <v>2208.6</v>
      </c>
      <c r="O42" s="120">
        <v>4288.7</v>
      </c>
      <c r="P42" s="120">
        <v>2486.3000000000002</v>
      </c>
    </row>
    <row r="43" spans="2:16">
      <c r="B43" s="110" t="s">
        <v>226</v>
      </c>
      <c r="C43" s="110" t="s">
        <v>238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</row>
    <row r="44" spans="2:16">
      <c r="B44" s="110" t="s">
        <v>226</v>
      </c>
      <c r="C44" s="110" t="s">
        <v>22</v>
      </c>
      <c r="D44" s="120">
        <v>39582.6</v>
      </c>
      <c r="E44" s="120">
        <v>79699.3</v>
      </c>
      <c r="F44" s="120">
        <v>61249.4</v>
      </c>
      <c r="G44" s="120">
        <v>50504.5</v>
      </c>
      <c r="H44" s="120">
        <v>53472.5</v>
      </c>
      <c r="I44" s="120">
        <v>50314</v>
      </c>
      <c r="J44" s="120">
        <v>37964.300000000003</v>
      </c>
      <c r="K44" s="120">
        <v>53272.9</v>
      </c>
      <c r="L44" s="120">
        <v>70061.5</v>
      </c>
      <c r="M44" s="120">
        <v>72313.8</v>
      </c>
      <c r="N44" s="120">
        <v>52585.3</v>
      </c>
      <c r="O44" s="120">
        <v>99664.7</v>
      </c>
      <c r="P44" s="120">
        <v>21689.9</v>
      </c>
    </row>
    <row r="45" spans="2:16">
      <c r="B45" s="110" t="s">
        <v>226</v>
      </c>
      <c r="C45" s="110" t="s">
        <v>239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</row>
    <row r="46" spans="2:16">
      <c r="B46" s="110" t="s">
        <v>226</v>
      </c>
      <c r="C46" s="110" t="s">
        <v>240</v>
      </c>
      <c r="D46" s="120">
        <v>315</v>
      </c>
      <c r="E46" s="120">
        <v>394.1</v>
      </c>
      <c r="F46" s="120">
        <v>0</v>
      </c>
      <c r="G46" s="120">
        <v>57</v>
      </c>
      <c r="H46" s="120">
        <v>75</v>
      </c>
      <c r="I46" s="120">
        <v>0</v>
      </c>
      <c r="J46" s="120">
        <v>25</v>
      </c>
      <c r="K46" s="120">
        <v>0</v>
      </c>
      <c r="L46" s="120">
        <v>21.9</v>
      </c>
      <c r="M46" s="120">
        <v>0</v>
      </c>
      <c r="N46" s="120">
        <v>619.5</v>
      </c>
      <c r="O46" s="120">
        <v>0</v>
      </c>
      <c r="P46" s="120">
        <v>0</v>
      </c>
    </row>
    <row r="47" spans="2:16">
      <c r="B47" s="110" t="s">
        <v>226</v>
      </c>
      <c r="C47" s="110" t="s">
        <v>228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</row>
    <row r="48" spans="2:16">
      <c r="B48" s="110" t="s">
        <v>226</v>
      </c>
      <c r="C48" s="110" t="s">
        <v>241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</row>
    <row r="49" spans="2:16">
      <c r="B49" s="110" t="s">
        <v>226</v>
      </c>
      <c r="C49" s="110" t="s">
        <v>233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</row>
    <row r="50" spans="2:16">
      <c r="B50" s="110" t="s">
        <v>226</v>
      </c>
      <c r="C50" s="110" t="s">
        <v>234</v>
      </c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</row>
    <row r="51" spans="2:16">
      <c r="B51" s="110" t="s">
        <v>226</v>
      </c>
      <c r="C51" s="110" t="s">
        <v>231</v>
      </c>
      <c r="D51" s="120">
        <v>39346.800000000003</v>
      </c>
      <c r="E51" s="120">
        <v>36350.1</v>
      </c>
      <c r="F51" s="120">
        <v>38883.699999999997</v>
      </c>
      <c r="G51" s="120">
        <v>37889.800000000003</v>
      </c>
      <c r="H51" s="120">
        <v>25898.400000000001</v>
      </c>
      <c r="I51" s="120">
        <v>24575.3</v>
      </c>
      <c r="J51" s="120">
        <v>23687.200000000001</v>
      </c>
      <c r="K51" s="120">
        <v>23588.2</v>
      </c>
      <c r="L51" s="120">
        <v>29280.6</v>
      </c>
      <c r="M51" s="120">
        <v>56573.1</v>
      </c>
      <c r="N51" s="120">
        <v>39099.800000000003</v>
      </c>
      <c r="O51" s="120">
        <v>74414.2</v>
      </c>
      <c r="P51" s="120">
        <v>32220.5</v>
      </c>
    </row>
    <row r="52" spans="2:16">
      <c r="B52" s="110" t="s">
        <v>226</v>
      </c>
      <c r="C52" s="121" t="s">
        <v>0</v>
      </c>
      <c r="D52" s="122">
        <v>194699.8</v>
      </c>
      <c r="E52" s="122">
        <v>220775.7</v>
      </c>
      <c r="F52" s="122">
        <v>219350.1</v>
      </c>
      <c r="G52" s="122">
        <v>223889.7</v>
      </c>
      <c r="H52" s="122">
        <v>229570.2</v>
      </c>
      <c r="I52" s="122">
        <v>225118.8</v>
      </c>
      <c r="J52" s="122">
        <v>171399.1</v>
      </c>
      <c r="K52" s="122">
        <v>185258</v>
      </c>
      <c r="L52" s="122">
        <v>208367.5</v>
      </c>
      <c r="M52" s="122">
        <v>266927.2</v>
      </c>
      <c r="N52" s="122">
        <v>202903.5</v>
      </c>
      <c r="O52" s="122">
        <v>289622.09999999998</v>
      </c>
      <c r="P52" s="122">
        <v>110839.7</v>
      </c>
    </row>
    <row r="53" spans="2:16">
      <c r="B53" s="110" t="s">
        <v>230</v>
      </c>
      <c r="C53" s="110" t="s">
        <v>236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</row>
    <row r="54" spans="2:16">
      <c r="B54" s="110" t="s">
        <v>230</v>
      </c>
      <c r="C54" s="110" t="s">
        <v>227</v>
      </c>
      <c r="D54" s="120">
        <v>43794.400000000001</v>
      </c>
      <c r="E54" s="120">
        <v>18462.8</v>
      </c>
      <c r="F54" s="120">
        <v>9128.2000000000007</v>
      </c>
      <c r="G54" s="120">
        <v>12444.9</v>
      </c>
      <c r="H54" s="120">
        <v>27670.2</v>
      </c>
      <c r="I54" s="120">
        <v>26575.7</v>
      </c>
      <c r="J54" s="120">
        <v>32372.1</v>
      </c>
      <c r="K54" s="120">
        <v>46810.1</v>
      </c>
      <c r="L54" s="120">
        <v>30606.2</v>
      </c>
      <c r="M54" s="120">
        <v>38654</v>
      </c>
      <c r="N54" s="120">
        <v>48332.5</v>
      </c>
      <c r="O54" s="120">
        <v>29873.4</v>
      </c>
      <c r="P54" s="120">
        <v>92635.5</v>
      </c>
    </row>
    <row r="55" spans="2:16">
      <c r="B55" s="110" t="s">
        <v>230</v>
      </c>
      <c r="C55" s="110" t="s">
        <v>26</v>
      </c>
      <c r="D55" s="120">
        <v>11177.4</v>
      </c>
      <c r="E55" s="120">
        <v>3751.2</v>
      </c>
      <c r="F55" s="120">
        <v>8591.4</v>
      </c>
      <c r="G55" s="120">
        <v>11889.1</v>
      </c>
      <c r="H55" s="120">
        <v>15256.9</v>
      </c>
      <c r="I55" s="120">
        <v>17125.2</v>
      </c>
      <c r="J55" s="120">
        <v>19882</v>
      </c>
      <c r="K55" s="120">
        <v>21088.9</v>
      </c>
      <c r="L55" s="120">
        <v>25077.200000000001</v>
      </c>
      <c r="M55" s="120">
        <v>23471.9</v>
      </c>
      <c r="N55" s="120">
        <v>32343</v>
      </c>
      <c r="O55" s="120">
        <v>31257.5</v>
      </c>
      <c r="P55" s="120">
        <v>28594.2</v>
      </c>
    </row>
    <row r="56" spans="2:16">
      <c r="B56" s="110" t="s">
        <v>230</v>
      </c>
      <c r="C56" s="110" t="s">
        <v>235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0.8</v>
      </c>
      <c r="K56" s="120">
        <v>0</v>
      </c>
      <c r="L56" s="120">
        <v>351.5</v>
      </c>
      <c r="M56" s="120">
        <v>1088.5</v>
      </c>
      <c r="N56" s="120">
        <v>1137.0999999999999</v>
      </c>
      <c r="O56" s="120">
        <v>232.7</v>
      </c>
      <c r="P56" s="120">
        <v>463.1</v>
      </c>
    </row>
    <row r="57" spans="2:16">
      <c r="B57" s="110" t="s">
        <v>230</v>
      </c>
      <c r="C57" s="110" t="s">
        <v>229</v>
      </c>
      <c r="D57" s="120">
        <v>53203.199999999997</v>
      </c>
      <c r="E57" s="120">
        <v>99732.800000000003</v>
      </c>
      <c r="F57" s="120">
        <v>84739.1</v>
      </c>
      <c r="G57" s="120">
        <v>63369.7</v>
      </c>
      <c r="H57" s="120">
        <v>30546.6</v>
      </c>
      <c r="I57" s="120">
        <v>22647.3</v>
      </c>
      <c r="J57" s="120">
        <v>39268.199999999997</v>
      </c>
      <c r="K57" s="120">
        <v>44806.400000000001</v>
      </c>
      <c r="L57" s="120">
        <v>27192.1</v>
      </c>
      <c r="M57" s="120">
        <v>28952.2</v>
      </c>
      <c r="N57" s="120">
        <v>21197.200000000001</v>
      </c>
      <c r="O57" s="120">
        <v>29718.6</v>
      </c>
      <c r="P57" s="120">
        <v>59071.9</v>
      </c>
    </row>
    <row r="58" spans="2:16">
      <c r="B58" s="110" t="s">
        <v>230</v>
      </c>
      <c r="C58" s="110" t="s">
        <v>237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</row>
    <row r="59" spans="2:16">
      <c r="B59" s="110" t="s">
        <v>230</v>
      </c>
      <c r="C59" s="110" t="s">
        <v>232</v>
      </c>
      <c r="D59" s="120">
        <v>0</v>
      </c>
      <c r="E59" s="120">
        <v>0</v>
      </c>
      <c r="F59" s="120">
        <v>4519.6000000000004</v>
      </c>
      <c r="G59" s="120">
        <v>10841.6</v>
      </c>
      <c r="H59" s="120">
        <v>4860.6000000000004</v>
      </c>
      <c r="I59" s="120">
        <v>4001.3</v>
      </c>
      <c r="J59" s="120">
        <v>8039.4</v>
      </c>
      <c r="K59" s="120">
        <v>3126.2</v>
      </c>
      <c r="L59" s="120">
        <v>4972</v>
      </c>
      <c r="M59" s="120">
        <v>12138.1</v>
      </c>
      <c r="N59" s="120">
        <v>3426.7</v>
      </c>
      <c r="O59" s="120">
        <v>2813.5</v>
      </c>
      <c r="P59" s="120">
        <v>13978.3</v>
      </c>
    </row>
    <row r="60" spans="2:16">
      <c r="B60" s="110" t="s">
        <v>230</v>
      </c>
      <c r="C60" s="110" t="s">
        <v>238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</row>
    <row r="61" spans="2:16">
      <c r="B61" s="110" t="s">
        <v>230</v>
      </c>
      <c r="C61" s="110" t="s">
        <v>22</v>
      </c>
      <c r="D61" s="120">
        <v>22399</v>
      </c>
      <c r="E61" s="120">
        <v>27305.599999999999</v>
      </c>
      <c r="F61" s="120">
        <v>30920</v>
      </c>
      <c r="G61" s="120">
        <v>24843.5</v>
      </c>
      <c r="H61" s="120">
        <v>13133.6</v>
      </c>
      <c r="I61" s="120">
        <v>9478.7999999999993</v>
      </c>
      <c r="J61" s="120">
        <v>14094.1</v>
      </c>
      <c r="K61" s="120">
        <v>8427.2000000000007</v>
      </c>
      <c r="L61" s="120">
        <v>25903.4</v>
      </c>
      <c r="M61" s="120">
        <v>20858.900000000001</v>
      </c>
      <c r="N61" s="120">
        <v>25403.7</v>
      </c>
      <c r="O61" s="120">
        <v>48230.3</v>
      </c>
      <c r="P61" s="120">
        <v>19654.8</v>
      </c>
    </row>
    <row r="62" spans="2:16">
      <c r="B62" s="110" t="s">
        <v>230</v>
      </c>
      <c r="C62" s="110" t="s">
        <v>239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</row>
    <row r="63" spans="2:16">
      <c r="B63" s="110" t="s">
        <v>230</v>
      </c>
      <c r="C63" s="110" t="s">
        <v>240</v>
      </c>
      <c r="D63" s="120">
        <v>424.5</v>
      </c>
      <c r="E63" s="120">
        <v>8.3000000000000007</v>
      </c>
      <c r="F63" s="120">
        <v>0</v>
      </c>
      <c r="G63" s="120">
        <v>260</v>
      </c>
      <c r="H63" s="120">
        <v>35</v>
      </c>
      <c r="I63" s="120">
        <v>0</v>
      </c>
      <c r="J63" s="120">
        <v>0</v>
      </c>
      <c r="K63" s="120">
        <v>0</v>
      </c>
      <c r="L63" s="120">
        <v>171.9</v>
      </c>
      <c r="M63" s="120">
        <v>0</v>
      </c>
      <c r="N63" s="120">
        <v>222</v>
      </c>
      <c r="O63" s="120">
        <v>0</v>
      </c>
      <c r="P63" s="120">
        <v>0</v>
      </c>
    </row>
    <row r="64" spans="2:16">
      <c r="B64" s="110" t="s">
        <v>230</v>
      </c>
      <c r="C64" s="110" t="s">
        <v>228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</row>
    <row r="65" spans="2:16">
      <c r="B65" s="110" t="s">
        <v>230</v>
      </c>
      <c r="C65" s="110" t="s">
        <v>241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</row>
    <row r="66" spans="2:16">
      <c r="B66" s="110" t="s">
        <v>230</v>
      </c>
      <c r="C66" s="110" t="s">
        <v>233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</row>
    <row r="67" spans="2:16">
      <c r="B67" s="110" t="s">
        <v>230</v>
      </c>
      <c r="C67" s="110" t="s">
        <v>234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</row>
    <row r="68" spans="2:16">
      <c r="B68" s="110" t="s">
        <v>230</v>
      </c>
      <c r="C68" s="110" t="s">
        <v>231</v>
      </c>
      <c r="D68" s="120">
        <v>12599.6</v>
      </c>
      <c r="E68" s="120">
        <v>13117.3</v>
      </c>
      <c r="F68" s="120">
        <v>16195.4</v>
      </c>
      <c r="G68" s="120">
        <v>6935.7</v>
      </c>
      <c r="H68" s="120">
        <v>583.9</v>
      </c>
      <c r="I68" s="120">
        <v>608.4</v>
      </c>
      <c r="J68" s="120">
        <v>2953</v>
      </c>
      <c r="K68" s="120">
        <v>5288</v>
      </c>
      <c r="L68" s="120">
        <v>4234.3999999999996</v>
      </c>
      <c r="M68" s="120">
        <v>1910.4</v>
      </c>
      <c r="N68" s="120">
        <v>6361.9</v>
      </c>
      <c r="O68" s="120">
        <v>3337.1</v>
      </c>
      <c r="P68" s="120">
        <v>9063.5</v>
      </c>
    </row>
    <row r="69" spans="2:16">
      <c r="B69" s="162" t="s">
        <v>230</v>
      </c>
      <c r="C69" s="146" t="s">
        <v>0</v>
      </c>
      <c r="D69" s="122">
        <v>143598.1</v>
      </c>
      <c r="E69" s="122">
        <v>162378</v>
      </c>
      <c r="F69" s="122">
        <v>154093.70000000001</v>
      </c>
      <c r="G69" s="122">
        <v>130584.5</v>
      </c>
      <c r="H69" s="122">
        <v>92086.8</v>
      </c>
      <c r="I69" s="122">
        <v>80436.7</v>
      </c>
      <c r="J69" s="122">
        <v>116609.60000000001</v>
      </c>
      <c r="K69" s="122">
        <v>129546.8</v>
      </c>
      <c r="L69" s="122">
        <v>118508.7</v>
      </c>
      <c r="M69" s="122">
        <v>127074</v>
      </c>
      <c r="N69" s="122">
        <v>138424.1</v>
      </c>
      <c r="O69" s="122">
        <v>145463.1</v>
      </c>
      <c r="P69" s="122">
        <v>223461.3</v>
      </c>
    </row>
    <row r="70" spans="2:16">
      <c r="B70" s="191" t="s">
        <v>146</v>
      </c>
      <c r="C70" s="146" t="s">
        <v>147</v>
      </c>
      <c r="D70" s="180">
        <v>42.758781878563823</v>
      </c>
      <c r="E70" s="180">
        <v>42.131023658853763</v>
      </c>
      <c r="F70" s="180">
        <v>38.967348635810971</v>
      </c>
      <c r="G70" s="180">
        <v>38.088840978392483</v>
      </c>
      <c r="H70" s="180">
        <v>46.215583904182687</v>
      </c>
      <c r="I70" s="180">
        <v>46.918287322071727</v>
      </c>
      <c r="J70" s="180">
        <v>46.126766534946803</v>
      </c>
      <c r="K70" s="180">
        <v>49.102792214101413</v>
      </c>
      <c r="L70" s="180">
        <v>59.519913470190893</v>
      </c>
      <c r="M70" s="180">
        <v>67.237482616983201</v>
      </c>
      <c r="N70" s="180">
        <v>69.353032254248944</v>
      </c>
      <c r="O70" s="180">
        <v>86.022068378069221</v>
      </c>
      <c r="P70" s="180">
        <v>68.272500196229331</v>
      </c>
    </row>
    <row r="71" spans="2:16" ht="15" customHeight="1">
      <c r="B71" s="192"/>
      <c r="C71" s="147" t="s">
        <v>148</v>
      </c>
      <c r="D71" s="181">
        <v>10.84432217417918</v>
      </c>
      <c r="E71" s="181">
        <v>5.3591661431967381</v>
      </c>
      <c r="F71" s="181">
        <v>3.8641131986577002</v>
      </c>
      <c r="G71" s="181">
        <v>5.2265654805891968</v>
      </c>
      <c r="H71" s="181">
        <v>17.557231438164859</v>
      </c>
      <c r="I71" s="181">
        <v>26.86901203057808</v>
      </c>
      <c r="J71" s="181">
        <v>23.897432801416009</v>
      </c>
      <c r="K71" s="181">
        <v>26.829993639364311</v>
      </c>
      <c r="L71" s="181">
        <v>38.168603739641057</v>
      </c>
      <c r="M71" s="181">
        <v>34.907456206619763</v>
      </c>
      <c r="N71" s="181">
        <v>40.305706087307051</v>
      </c>
      <c r="O71" s="181">
        <v>51.364834243186067</v>
      </c>
      <c r="P71" s="181">
        <v>28.525761104943001</v>
      </c>
    </row>
    <row r="72" spans="2:16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  <row r="73" spans="2:16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0"/>
      <c r="O73" s="117"/>
      <c r="P73" s="110" t="s">
        <v>87</v>
      </c>
    </row>
    <row r="74" spans="2:16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0" t="s">
        <v>71</v>
      </c>
      <c r="O74" s="117"/>
      <c r="P74" s="175">
        <f>(P52-D52)/D52</f>
        <v>-0.43071487489971738</v>
      </c>
    </row>
    <row r="75" spans="2:16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0" t="s">
        <v>70</v>
      </c>
      <c r="O75" s="117"/>
      <c r="P75" s="175">
        <f>(P69-D69)/D69</f>
        <v>0.55615777646083042</v>
      </c>
    </row>
    <row r="76" spans="2:16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0" t="s">
        <v>76</v>
      </c>
      <c r="O76" s="117"/>
      <c r="P76" s="175">
        <f>((P52+P69)-(D52+D69))/(D52+D69)</f>
        <v>-1.1814734883072059E-2</v>
      </c>
    </row>
    <row r="77" spans="2:16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0" t="s">
        <v>72</v>
      </c>
      <c r="O77" s="117"/>
      <c r="P77" s="175">
        <f>(P70-D70)/D70</f>
        <v>0.59668954999993229</v>
      </c>
    </row>
    <row r="78" spans="2:16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0" t="s">
        <v>73</v>
      </c>
      <c r="O78" s="117"/>
      <c r="P78" s="175">
        <f>(P71-D71)/D71</f>
        <v>1.6304789406629883</v>
      </c>
    </row>
    <row r="80" spans="2:16">
      <c r="B80" s="107" t="s">
        <v>244</v>
      </c>
    </row>
    <row r="81" spans="2:16">
      <c r="B81" s="109"/>
      <c r="C81" s="109" t="s">
        <v>32</v>
      </c>
      <c r="D81" s="109" t="s">
        <v>135</v>
      </c>
      <c r="E81" s="109" t="s">
        <v>135</v>
      </c>
      <c r="F81" s="109" t="s">
        <v>135</v>
      </c>
      <c r="G81" s="109" t="s">
        <v>135</v>
      </c>
      <c r="H81" s="109" t="s">
        <v>135</v>
      </c>
      <c r="I81" s="109" t="s">
        <v>135</v>
      </c>
      <c r="J81" s="109" t="s">
        <v>135</v>
      </c>
      <c r="K81" s="109" t="s">
        <v>135</v>
      </c>
      <c r="L81" s="109" t="s">
        <v>135</v>
      </c>
      <c r="M81" s="109" t="s">
        <v>135</v>
      </c>
      <c r="N81" s="109" t="s">
        <v>135</v>
      </c>
      <c r="O81" s="109" t="s">
        <v>135</v>
      </c>
      <c r="P81" s="109" t="s">
        <v>135</v>
      </c>
    </row>
    <row r="82" spans="2:16">
      <c r="B82" s="109"/>
      <c r="C82" s="109" t="s">
        <v>122</v>
      </c>
      <c r="D82" s="109" t="s">
        <v>210</v>
      </c>
      <c r="E82" s="109" t="s">
        <v>216</v>
      </c>
      <c r="F82" s="109" t="s">
        <v>217</v>
      </c>
      <c r="G82" s="109" t="s">
        <v>218</v>
      </c>
      <c r="H82" s="109" t="s">
        <v>219</v>
      </c>
      <c r="I82" s="109" t="s">
        <v>220</v>
      </c>
      <c r="J82" s="109" t="s">
        <v>221</v>
      </c>
      <c r="K82" s="109" t="s">
        <v>222</v>
      </c>
      <c r="L82" s="109" t="s">
        <v>223</v>
      </c>
      <c r="M82" s="109" t="s">
        <v>224</v>
      </c>
      <c r="N82" s="109" t="s">
        <v>104</v>
      </c>
      <c r="O82" s="109" t="s">
        <v>225</v>
      </c>
      <c r="P82" s="109" t="s">
        <v>199</v>
      </c>
    </row>
    <row r="83" spans="2:16">
      <c r="B83" s="109" t="s">
        <v>126</v>
      </c>
      <c r="C83" s="109" t="s">
        <v>127</v>
      </c>
      <c r="D83" s="109" t="s">
        <v>6</v>
      </c>
      <c r="E83" s="109" t="s">
        <v>7</v>
      </c>
      <c r="F83" s="109" t="s">
        <v>8</v>
      </c>
      <c r="G83" s="109" t="s">
        <v>7</v>
      </c>
      <c r="H83" s="109" t="s">
        <v>9</v>
      </c>
      <c r="I83" s="109" t="s">
        <v>9</v>
      </c>
      <c r="J83" s="109" t="s">
        <v>8</v>
      </c>
      <c r="K83" s="109" t="s">
        <v>10</v>
      </c>
      <c r="L83" s="109" t="s">
        <v>11</v>
      </c>
      <c r="M83" s="109" t="s">
        <v>12</v>
      </c>
      <c r="N83" s="109" t="s">
        <v>13</v>
      </c>
      <c r="O83" s="109" t="s">
        <v>5</v>
      </c>
      <c r="P83" s="109" t="s">
        <v>6</v>
      </c>
    </row>
    <row r="84" spans="2:16">
      <c r="B84" s="110" t="s">
        <v>226</v>
      </c>
      <c r="C84" s="110" t="s">
        <v>227</v>
      </c>
      <c r="D84" s="120">
        <v>29783.200000000001</v>
      </c>
      <c r="E84" s="120">
        <v>37820.300000000003</v>
      </c>
      <c r="F84" s="120">
        <v>24502</v>
      </c>
      <c r="G84" s="120">
        <v>18542.900000000001</v>
      </c>
      <c r="H84" s="120">
        <v>32003.200000000001</v>
      </c>
      <c r="I84" s="120">
        <v>51324.2</v>
      </c>
      <c r="J84" s="120">
        <v>19608</v>
      </c>
      <c r="K84" s="120">
        <v>51777.2</v>
      </c>
      <c r="L84" s="120">
        <v>16527.099999999999</v>
      </c>
      <c r="M84" s="120">
        <v>27911.599999999999</v>
      </c>
      <c r="N84" s="120">
        <v>14759.8</v>
      </c>
      <c r="O84" s="120">
        <v>27333.200000000001</v>
      </c>
      <c r="P84" s="120">
        <v>11782.3</v>
      </c>
    </row>
    <row r="85" spans="2:16">
      <c r="B85" s="110" t="s">
        <v>226</v>
      </c>
      <c r="C85" s="110" t="s">
        <v>26</v>
      </c>
      <c r="D85" s="120">
        <v>13923.2</v>
      </c>
      <c r="E85" s="120">
        <v>19028.5</v>
      </c>
      <c r="F85" s="120">
        <v>15019.4</v>
      </c>
      <c r="G85" s="120">
        <v>12194.7</v>
      </c>
      <c r="H85" s="120">
        <v>25715</v>
      </c>
      <c r="I85" s="120">
        <v>59857.5</v>
      </c>
      <c r="J85" s="120">
        <v>34074</v>
      </c>
      <c r="K85" s="120">
        <v>60003.199999999997</v>
      </c>
      <c r="L85" s="120">
        <v>30870.5</v>
      </c>
      <c r="M85" s="120">
        <v>59353</v>
      </c>
      <c r="N85" s="120">
        <v>21112.2</v>
      </c>
      <c r="O85" s="120">
        <v>50390.400000000001</v>
      </c>
      <c r="P85" s="120">
        <v>9297.4</v>
      </c>
    </row>
    <row r="86" spans="2:16">
      <c r="B86" s="110" t="s">
        <v>226</v>
      </c>
      <c r="C86" s="110" t="s">
        <v>235</v>
      </c>
      <c r="D86" s="120">
        <v>0</v>
      </c>
      <c r="E86" s="120">
        <v>23.8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</row>
    <row r="87" spans="2:16">
      <c r="B87" s="110" t="s">
        <v>226</v>
      </c>
      <c r="C87" s="110" t="s">
        <v>229</v>
      </c>
      <c r="D87" s="120">
        <v>26573.5</v>
      </c>
      <c r="E87" s="120">
        <v>4950.8</v>
      </c>
      <c r="F87" s="120">
        <v>8611</v>
      </c>
      <c r="G87" s="120">
        <v>3802.8</v>
      </c>
      <c r="H87" s="120">
        <v>1834</v>
      </c>
      <c r="I87" s="120">
        <v>381.3</v>
      </c>
      <c r="J87" s="120">
        <v>154.80000000000001</v>
      </c>
      <c r="K87" s="120">
        <v>418.8</v>
      </c>
      <c r="L87" s="120">
        <v>2014.8</v>
      </c>
      <c r="M87" s="120">
        <v>2603.5</v>
      </c>
      <c r="N87" s="120">
        <v>2054.9</v>
      </c>
      <c r="O87" s="120">
        <v>1420.1</v>
      </c>
      <c r="P87" s="120">
        <v>2429.3000000000002</v>
      </c>
    </row>
    <row r="88" spans="2:16">
      <c r="B88" s="110" t="s">
        <v>226</v>
      </c>
      <c r="C88" s="110" t="s">
        <v>232</v>
      </c>
      <c r="D88" s="120">
        <v>0</v>
      </c>
      <c r="E88" s="120">
        <v>0</v>
      </c>
      <c r="F88" s="120">
        <v>0</v>
      </c>
      <c r="G88" s="120">
        <v>29.4</v>
      </c>
      <c r="H88" s="120">
        <v>309.7</v>
      </c>
      <c r="I88" s="120">
        <v>830.5</v>
      </c>
      <c r="J88" s="120">
        <v>407.6</v>
      </c>
      <c r="K88" s="120">
        <v>585.4</v>
      </c>
      <c r="L88" s="120">
        <v>341.7</v>
      </c>
      <c r="M88" s="120">
        <v>562.79999999999995</v>
      </c>
      <c r="N88" s="120">
        <v>290</v>
      </c>
      <c r="O88" s="120">
        <v>796.7</v>
      </c>
      <c r="P88" s="120">
        <v>37.700000000000003</v>
      </c>
    </row>
    <row r="89" spans="2:16">
      <c r="B89" s="110" t="s">
        <v>226</v>
      </c>
      <c r="C89" s="110" t="s">
        <v>22</v>
      </c>
      <c r="D89" s="120">
        <v>24211.5</v>
      </c>
      <c r="E89" s="120">
        <v>37761.800000000003</v>
      </c>
      <c r="F89" s="120">
        <v>21323</v>
      </c>
      <c r="G89" s="120">
        <v>10110.1</v>
      </c>
      <c r="H89" s="120">
        <v>15345.5</v>
      </c>
      <c r="I89" s="120">
        <v>22884.7</v>
      </c>
      <c r="J89" s="120">
        <v>13164.8</v>
      </c>
      <c r="K89" s="120">
        <v>30624.400000000001</v>
      </c>
      <c r="L89" s="120">
        <v>14982.5</v>
      </c>
      <c r="M89" s="120">
        <v>23494.9</v>
      </c>
      <c r="N89" s="120">
        <v>9517.7000000000007</v>
      </c>
      <c r="O89" s="120">
        <v>48799.7</v>
      </c>
      <c r="P89" s="120">
        <v>5011.6000000000004</v>
      </c>
    </row>
    <row r="90" spans="2:16">
      <c r="B90" s="110" t="s">
        <v>226</v>
      </c>
      <c r="C90" s="110" t="s">
        <v>240</v>
      </c>
      <c r="D90" s="120">
        <v>221</v>
      </c>
      <c r="E90" s="120">
        <v>0</v>
      </c>
      <c r="F90" s="120">
        <v>0</v>
      </c>
      <c r="G90" s="120">
        <v>0</v>
      </c>
      <c r="H90" s="120">
        <v>404.7</v>
      </c>
      <c r="I90" s="120">
        <v>0</v>
      </c>
      <c r="J90" s="120">
        <v>150</v>
      </c>
      <c r="K90" s="120">
        <v>0</v>
      </c>
      <c r="L90" s="120">
        <v>0</v>
      </c>
      <c r="M90" s="120">
        <v>0</v>
      </c>
      <c r="N90" s="120">
        <v>60</v>
      </c>
      <c r="O90" s="120">
        <v>0</v>
      </c>
      <c r="P90" s="120">
        <v>0</v>
      </c>
    </row>
    <row r="91" spans="2:16">
      <c r="B91" s="110" t="s">
        <v>226</v>
      </c>
      <c r="C91" s="110" t="s">
        <v>231</v>
      </c>
      <c r="D91" s="120">
        <v>18786.400000000001</v>
      </c>
      <c r="E91" s="120">
        <v>15892.4</v>
      </c>
      <c r="F91" s="120">
        <v>12131.8</v>
      </c>
      <c r="G91" s="120">
        <v>15019.5</v>
      </c>
      <c r="H91" s="120">
        <v>3667.5</v>
      </c>
      <c r="I91" s="120">
        <v>5850</v>
      </c>
      <c r="J91" s="120">
        <v>4538.1000000000004</v>
      </c>
      <c r="K91" s="120">
        <v>11791</v>
      </c>
      <c r="L91" s="120">
        <v>6233.4</v>
      </c>
      <c r="M91" s="120">
        <v>15319.9</v>
      </c>
      <c r="N91" s="120">
        <v>10705.2</v>
      </c>
      <c r="O91" s="120">
        <v>22768.5</v>
      </c>
      <c r="P91" s="120">
        <v>3301.6</v>
      </c>
    </row>
    <row r="92" spans="2:16">
      <c r="B92" s="110" t="s">
        <v>226</v>
      </c>
      <c r="C92" s="121" t="s">
        <v>0</v>
      </c>
      <c r="D92" s="122">
        <v>113498.8</v>
      </c>
      <c r="E92" s="122">
        <v>115477.6</v>
      </c>
      <c r="F92" s="122">
        <v>81587.199999999997</v>
      </c>
      <c r="G92" s="122">
        <v>59699.4</v>
      </c>
      <c r="H92" s="122">
        <v>79279.600000000006</v>
      </c>
      <c r="I92" s="122">
        <v>141128.20000000001</v>
      </c>
      <c r="J92" s="122">
        <v>72097.3</v>
      </c>
      <c r="K92" s="122">
        <v>155200</v>
      </c>
      <c r="L92" s="122">
        <v>70970</v>
      </c>
      <c r="M92" s="122">
        <v>129245.7</v>
      </c>
      <c r="N92" s="122">
        <v>58499.8</v>
      </c>
      <c r="O92" s="122">
        <v>151508.6</v>
      </c>
      <c r="P92" s="122">
        <v>31859.9</v>
      </c>
    </row>
    <row r="93" spans="2:16">
      <c r="B93" s="110" t="s">
        <v>230</v>
      </c>
      <c r="C93" s="110" t="s">
        <v>227</v>
      </c>
      <c r="D93" s="120">
        <v>11885.7</v>
      </c>
      <c r="E93" s="120">
        <v>8482.9</v>
      </c>
      <c r="F93" s="120">
        <v>2481.1999999999998</v>
      </c>
      <c r="G93" s="120">
        <v>2502.1</v>
      </c>
      <c r="H93" s="120">
        <v>9826.2999999999993</v>
      </c>
      <c r="I93" s="120">
        <v>16804.900000000001</v>
      </c>
      <c r="J93" s="120">
        <v>20254.099999999999</v>
      </c>
      <c r="K93" s="120">
        <v>28176.400000000001</v>
      </c>
      <c r="L93" s="120">
        <v>10892.6</v>
      </c>
      <c r="M93" s="120">
        <v>5563.5</v>
      </c>
      <c r="N93" s="120">
        <v>12581.1</v>
      </c>
      <c r="O93" s="120">
        <v>7306.9</v>
      </c>
      <c r="P93" s="120">
        <v>50376</v>
      </c>
    </row>
    <row r="94" spans="2:16">
      <c r="B94" s="110" t="s">
        <v>230</v>
      </c>
      <c r="C94" s="110" t="s">
        <v>26</v>
      </c>
      <c r="D94" s="120">
        <v>2095.1999999999998</v>
      </c>
      <c r="E94" s="120">
        <v>1097</v>
      </c>
      <c r="F94" s="120">
        <v>973</v>
      </c>
      <c r="G94" s="120">
        <v>1126</v>
      </c>
      <c r="H94" s="120">
        <v>3497.3</v>
      </c>
      <c r="I94" s="120">
        <v>9200.1</v>
      </c>
      <c r="J94" s="120">
        <v>4502.5</v>
      </c>
      <c r="K94" s="120">
        <v>12664.3</v>
      </c>
      <c r="L94" s="120">
        <v>9459.2999999999993</v>
      </c>
      <c r="M94" s="120">
        <v>5060.2</v>
      </c>
      <c r="N94" s="120">
        <v>13203.9</v>
      </c>
      <c r="O94" s="120">
        <v>11559.1</v>
      </c>
      <c r="P94" s="120">
        <v>18600.8</v>
      </c>
    </row>
    <row r="95" spans="2:16">
      <c r="B95" s="110" t="s">
        <v>230</v>
      </c>
      <c r="C95" s="110" t="s">
        <v>235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19</v>
      </c>
      <c r="M95" s="120">
        <v>113</v>
      </c>
      <c r="N95" s="120">
        <v>233</v>
      </c>
      <c r="O95" s="120">
        <v>88</v>
      </c>
      <c r="P95" s="120">
        <v>92.8</v>
      </c>
    </row>
    <row r="96" spans="2:16">
      <c r="B96" s="110" t="s">
        <v>230</v>
      </c>
      <c r="C96" s="110" t="s">
        <v>229</v>
      </c>
      <c r="D96" s="120">
        <v>8367.7000000000007</v>
      </c>
      <c r="E96" s="120">
        <v>28368.3</v>
      </c>
      <c r="F96" s="120">
        <v>16964.8</v>
      </c>
      <c r="G96" s="120">
        <v>10105.799999999999</v>
      </c>
      <c r="H96" s="120">
        <v>8231.5</v>
      </c>
      <c r="I96" s="120">
        <v>4654.1000000000004</v>
      </c>
      <c r="J96" s="120">
        <v>14825.7</v>
      </c>
      <c r="K96" s="120">
        <v>15166.3</v>
      </c>
      <c r="L96" s="120">
        <v>7585</v>
      </c>
      <c r="M96" s="120">
        <v>7129.2</v>
      </c>
      <c r="N96" s="120">
        <v>6261.8</v>
      </c>
      <c r="O96" s="120">
        <v>7999</v>
      </c>
      <c r="P96" s="120">
        <v>18257.2</v>
      </c>
    </row>
    <row r="97" spans="2:16">
      <c r="B97" s="110" t="s">
        <v>230</v>
      </c>
      <c r="C97" s="110" t="s">
        <v>232</v>
      </c>
      <c r="D97" s="120">
        <v>0</v>
      </c>
      <c r="E97" s="120">
        <v>0</v>
      </c>
      <c r="F97" s="120">
        <v>0</v>
      </c>
      <c r="G97" s="120">
        <v>176.9</v>
      </c>
      <c r="H97" s="120">
        <v>242</v>
      </c>
      <c r="I97" s="120">
        <v>369.5</v>
      </c>
      <c r="J97" s="120">
        <v>422.9</v>
      </c>
      <c r="K97" s="120">
        <v>462.1</v>
      </c>
      <c r="L97" s="120">
        <v>201.8</v>
      </c>
      <c r="M97" s="120">
        <v>169.4</v>
      </c>
      <c r="N97" s="120">
        <v>220.5</v>
      </c>
      <c r="O97" s="120">
        <v>402.8</v>
      </c>
      <c r="P97" s="120">
        <v>867.9</v>
      </c>
    </row>
    <row r="98" spans="2:16">
      <c r="B98" s="110" t="s">
        <v>230</v>
      </c>
      <c r="C98" s="110" t="s">
        <v>22</v>
      </c>
      <c r="D98" s="120">
        <v>9252.1</v>
      </c>
      <c r="E98" s="120">
        <v>6471.7</v>
      </c>
      <c r="F98" s="120">
        <v>7876.1</v>
      </c>
      <c r="G98" s="120">
        <v>4467.7</v>
      </c>
      <c r="H98" s="120">
        <v>3677.4</v>
      </c>
      <c r="I98" s="120">
        <v>7625.8</v>
      </c>
      <c r="J98" s="120">
        <v>13215.2</v>
      </c>
      <c r="K98" s="120">
        <v>8996.5</v>
      </c>
      <c r="L98" s="120">
        <v>8745.2999999999993</v>
      </c>
      <c r="M98" s="120">
        <v>3964.2</v>
      </c>
      <c r="N98" s="120">
        <v>5846.4</v>
      </c>
      <c r="O98" s="120">
        <v>17797.7</v>
      </c>
      <c r="P98" s="120">
        <v>17793.5</v>
      </c>
    </row>
    <row r="99" spans="2:16">
      <c r="B99" s="110" t="s">
        <v>230</v>
      </c>
      <c r="C99" s="110" t="s">
        <v>240</v>
      </c>
      <c r="D99" s="120">
        <v>90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125</v>
      </c>
      <c r="O99" s="120">
        <v>0</v>
      </c>
      <c r="P99" s="120">
        <v>0</v>
      </c>
    </row>
    <row r="100" spans="2:16">
      <c r="B100" s="110" t="s">
        <v>230</v>
      </c>
      <c r="C100" s="110" t="s">
        <v>231</v>
      </c>
      <c r="D100" s="120">
        <v>2538.1</v>
      </c>
      <c r="E100" s="120">
        <v>4284.6000000000004</v>
      </c>
      <c r="F100" s="120">
        <v>1848.7</v>
      </c>
      <c r="G100" s="120">
        <v>1975.3</v>
      </c>
      <c r="H100" s="120">
        <v>129.80000000000001</v>
      </c>
      <c r="I100" s="120">
        <v>107.2</v>
      </c>
      <c r="J100" s="120">
        <v>462.9</v>
      </c>
      <c r="K100" s="120">
        <v>3124.7</v>
      </c>
      <c r="L100" s="120">
        <v>691.6</v>
      </c>
      <c r="M100" s="120">
        <v>709</v>
      </c>
      <c r="N100" s="120">
        <v>1688.7</v>
      </c>
      <c r="O100" s="120">
        <v>1941.3</v>
      </c>
      <c r="P100" s="120">
        <v>4596.7</v>
      </c>
    </row>
    <row r="101" spans="2:16">
      <c r="B101" s="110" t="s">
        <v>230</v>
      </c>
      <c r="C101" s="121" t="s">
        <v>0</v>
      </c>
      <c r="D101" s="122">
        <v>34228.800000000003</v>
      </c>
      <c r="E101" s="122">
        <v>48704.5</v>
      </c>
      <c r="F101" s="122">
        <v>30143.8</v>
      </c>
      <c r="G101" s="122">
        <v>20353.8</v>
      </c>
      <c r="H101" s="122">
        <v>25604.3</v>
      </c>
      <c r="I101" s="122">
        <v>38761.599999999999</v>
      </c>
      <c r="J101" s="122">
        <v>53683.3</v>
      </c>
      <c r="K101" s="122">
        <v>68590.3</v>
      </c>
      <c r="L101" s="122">
        <v>37594.6</v>
      </c>
      <c r="M101" s="122">
        <v>22708.5</v>
      </c>
      <c r="N101" s="122">
        <v>40160.400000000001</v>
      </c>
      <c r="O101" s="122">
        <v>47094.8</v>
      </c>
      <c r="P101" s="122">
        <v>110584.9</v>
      </c>
    </row>
    <row r="102" spans="2:16">
      <c r="B102" s="110" t="s">
        <v>0</v>
      </c>
      <c r="C102" s="146" t="s">
        <v>147</v>
      </c>
      <c r="D102" s="180">
        <v>37.351519399324047</v>
      </c>
      <c r="E102" s="180">
        <v>37.474939988361378</v>
      </c>
      <c r="F102" s="180">
        <v>35.812212577463129</v>
      </c>
      <c r="G102" s="180">
        <v>35.241335926324219</v>
      </c>
      <c r="H102" s="180">
        <v>45.437845423034418</v>
      </c>
      <c r="I102" s="180">
        <v>45.583879125504332</v>
      </c>
      <c r="J102" s="180">
        <v>46.119075471619603</v>
      </c>
      <c r="K102" s="180">
        <v>50.606002190721647</v>
      </c>
      <c r="L102" s="180">
        <v>58.413288431731708</v>
      </c>
      <c r="M102" s="180">
        <v>64.995111945697232</v>
      </c>
      <c r="N102" s="180">
        <v>67.596904775742829</v>
      </c>
      <c r="O102" s="180">
        <v>84.925632340342403</v>
      </c>
      <c r="P102" s="180">
        <v>75.523737362640816</v>
      </c>
    </row>
    <row r="103" spans="2:16">
      <c r="B103" s="110"/>
      <c r="C103" s="147" t="s">
        <v>148</v>
      </c>
      <c r="D103" s="181">
        <v>16.168519784508948</v>
      </c>
      <c r="E103" s="181">
        <v>13.89181636193781</v>
      </c>
      <c r="F103" s="181">
        <v>4.8816104804304699</v>
      </c>
      <c r="G103" s="181">
        <v>12.852526309583469</v>
      </c>
      <c r="H103" s="181">
        <v>24.859456028870149</v>
      </c>
      <c r="I103" s="181">
        <v>31.89916283125568</v>
      </c>
      <c r="J103" s="181">
        <v>26.904423163255611</v>
      </c>
      <c r="K103" s="181">
        <v>32.704484015961441</v>
      </c>
      <c r="L103" s="181">
        <v>42.427821282843823</v>
      </c>
      <c r="M103" s="181">
        <v>39.590902965849793</v>
      </c>
      <c r="N103" s="181">
        <v>47.524236561388832</v>
      </c>
      <c r="O103" s="181">
        <v>56.505910843660018</v>
      </c>
      <c r="P103" s="181">
        <v>39.278952460959857</v>
      </c>
    </row>
    <row r="104" spans="2:16" ht="15">
      <c r="B104" s="119"/>
      <c r="C104" s="119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2:16" ht="1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0"/>
      <c r="O105" s="117"/>
      <c r="P105" s="110"/>
    </row>
    <row r="106" spans="2:16" ht="1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0"/>
      <c r="O106" s="117"/>
      <c r="P106" s="110" t="s">
        <v>87</v>
      </c>
    </row>
    <row r="107" spans="2:16" ht="1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0" t="s">
        <v>74</v>
      </c>
      <c r="O107" s="117"/>
      <c r="P107" s="175">
        <f>(P92-D92)/D92</f>
        <v>-0.71929306741569066</v>
      </c>
    </row>
    <row r="108" spans="2:16" ht="1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0" t="s">
        <v>75</v>
      </c>
      <c r="O108" s="117"/>
      <c r="P108" s="175">
        <f>(P101-D101)/D101</f>
        <v>2.2307559715794882</v>
      </c>
    </row>
    <row r="109" spans="2:16" ht="1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0" t="s">
        <v>77</v>
      </c>
      <c r="O109" s="117"/>
      <c r="P109" s="175">
        <f>((P92+P101)-(D92+D101))/(D92+D101)</f>
        <v>-3.5760413084623438E-2</v>
      </c>
    </row>
    <row r="110" spans="2:16" ht="1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0" t="s">
        <v>72</v>
      </c>
      <c r="O110" s="117"/>
      <c r="P110" s="175">
        <f>(P102-D102)/D102</f>
        <v>1.0219722939572726</v>
      </c>
    </row>
    <row r="111" spans="2:16">
      <c r="N111" s="110" t="s">
        <v>73</v>
      </c>
      <c r="O111" s="117"/>
      <c r="P111" s="175">
        <f>(P103-D103)/D103</f>
        <v>1.4293474594126423</v>
      </c>
    </row>
    <row r="112" spans="2:16">
      <c r="B112" s="107" t="s">
        <v>245</v>
      </c>
    </row>
    <row r="113" spans="2:16">
      <c r="B113" s="109" t="s">
        <v>32</v>
      </c>
      <c r="C113" s="109" t="s">
        <v>67</v>
      </c>
      <c r="D113" s="109" t="s">
        <v>67</v>
      </c>
      <c r="E113" s="109" t="s">
        <v>67</v>
      </c>
      <c r="F113" s="109" t="s">
        <v>67</v>
      </c>
      <c r="G113" s="109" t="s">
        <v>67</v>
      </c>
      <c r="H113" s="109" t="s">
        <v>67</v>
      </c>
      <c r="I113" s="109" t="s">
        <v>67</v>
      </c>
      <c r="J113" s="109" t="s">
        <v>67</v>
      </c>
      <c r="K113" s="109" t="s">
        <v>67</v>
      </c>
      <c r="L113" s="109" t="s">
        <v>67</v>
      </c>
      <c r="M113" s="109" t="s">
        <v>67</v>
      </c>
      <c r="N113" s="109" t="s">
        <v>67</v>
      </c>
      <c r="O113" s="109" t="s">
        <v>67</v>
      </c>
      <c r="P113" s="109" t="s">
        <v>67</v>
      </c>
    </row>
    <row r="114" spans="2:16">
      <c r="B114" s="109" t="s">
        <v>122</v>
      </c>
      <c r="C114" s="109" t="s">
        <v>210</v>
      </c>
      <c r="D114" s="109" t="s">
        <v>216</v>
      </c>
      <c r="E114" s="109" t="s">
        <v>217</v>
      </c>
      <c r="F114" s="109" t="s">
        <v>218</v>
      </c>
      <c r="G114" s="109" t="s">
        <v>219</v>
      </c>
      <c r="H114" s="109" t="s">
        <v>220</v>
      </c>
      <c r="I114" s="109" t="s">
        <v>221</v>
      </c>
      <c r="J114" s="109" t="s">
        <v>222</v>
      </c>
      <c r="K114" s="109" t="s">
        <v>223</v>
      </c>
      <c r="L114" s="109" t="s">
        <v>224</v>
      </c>
      <c r="M114" s="109" t="s">
        <v>104</v>
      </c>
      <c r="N114" s="109" t="s">
        <v>225</v>
      </c>
      <c r="O114" s="109" t="s">
        <v>199</v>
      </c>
      <c r="P114" s="109" t="s">
        <v>0</v>
      </c>
    </row>
    <row r="115" spans="2:16">
      <c r="B115" s="109" t="s">
        <v>127</v>
      </c>
      <c r="C115" s="109" t="s">
        <v>6</v>
      </c>
      <c r="D115" s="109" t="s">
        <v>7</v>
      </c>
      <c r="E115" s="109" t="s">
        <v>8</v>
      </c>
      <c r="F115" s="109" t="s">
        <v>7</v>
      </c>
      <c r="G115" s="109" t="s">
        <v>9</v>
      </c>
      <c r="H115" s="109" t="s">
        <v>9</v>
      </c>
      <c r="I115" s="109" t="s">
        <v>8</v>
      </c>
      <c r="J115" s="109" t="s">
        <v>10</v>
      </c>
      <c r="K115" s="109" t="s">
        <v>11</v>
      </c>
      <c r="L115" s="109" t="s">
        <v>12</v>
      </c>
      <c r="M115" s="109" t="s">
        <v>13</v>
      </c>
      <c r="N115" s="109" t="s">
        <v>5</v>
      </c>
      <c r="O115" s="109" t="s">
        <v>6</v>
      </c>
      <c r="P115" s="109"/>
    </row>
    <row r="116" spans="2:16">
      <c r="B116" s="110" t="s">
        <v>227</v>
      </c>
      <c r="C116" s="120">
        <v>0</v>
      </c>
      <c r="D116" s="120">
        <v>1586.3</v>
      </c>
      <c r="E116" s="120">
        <v>576.5</v>
      </c>
      <c r="F116" s="120">
        <v>3569.6</v>
      </c>
      <c r="G116" s="120">
        <v>5205</v>
      </c>
      <c r="H116" s="120">
        <v>210</v>
      </c>
      <c r="I116" s="120">
        <v>2091.8000000000002</v>
      </c>
      <c r="J116" s="120">
        <v>456.3</v>
      </c>
      <c r="K116" s="120">
        <v>53.4</v>
      </c>
      <c r="L116" s="120">
        <v>0</v>
      </c>
      <c r="M116" s="120">
        <v>0</v>
      </c>
      <c r="N116" s="120">
        <v>0</v>
      </c>
      <c r="O116" s="120">
        <v>6150</v>
      </c>
      <c r="P116" s="120">
        <v>19898.900000000001</v>
      </c>
    </row>
    <row r="117" spans="2:16">
      <c r="B117" s="110" t="s">
        <v>26</v>
      </c>
      <c r="C117" s="120">
        <v>23619.7</v>
      </c>
      <c r="D117" s="120">
        <v>26999.7</v>
      </c>
      <c r="E117" s="120">
        <v>26003.599999999999</v>
      </c>
      <c r="F117" s="120">
        <v>19753.8</v>
      </c>
      <c r="G117" s="120">
        <v>22612.799999999999</v>
      </c>
      <c r="H117" s="120">
        <v>7404.2</v>
      </c>
      <c r="I117" s="120">
        <v>20206</v>
      </c>
      <c r="J117" s="120">
        <v>18024.599999999999</v>
      </c>
      <c r="K117" s="120">
        <v>23642.3</v>
      </c>
      <c r="L117" s="120">
        <v>27130.5</v>
      </c>
      <c r="M117" s="120">
        <v>9410.5</v>
      </c>
      <c r="N117" s="120">
        <v>25945.3</v>
      </c>
      <c r="O117" s="120">
        <v>9508.4</v>
      </c>
      <c r="P117" s="120">
        <v>260261.4</v>
      </c>
    </row>
    <row r="118" spans="2:16">
      <c r="B118" s="110" t="s">
        <v>235</v>
      </c>
      <c r="C118" s="120">
        <v>24.9</v>
      </c>
      <c r="D118" s="120">
        <v>0</v>
      </c>
      <c r="E118" s="120">
        <v>0</v>
      </c>
      <c r="F118" s="120">
        <v>10.4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35.299999999999997</v>
      </c>
    </row>
    <row r="119" spans="2:16">
      <c r="B119" s="110" t="s">
        <v>229</v>
      </c>
      <c r="C119" s="120">
        <v>8015.5</v>
      </c>
      <c r="D119" s="120">
        <v>3618.7</v>
      </c>
      <c r="E119" s="120">
        <v>9984.7000000000007</v>
      </c>
      <c r="F119" s="120">
        <v>3695</v>
      </c>
      <c r="G119" s="120">
        <v>5244.3</v>
      </c>
      <c r="H119" s="120">
        <v>326.10000000000002</v>
      </c>
      <c r="I119" s="120">
        <v>273.8</v>
      </c>
      <c r="J119" s="120">
        <v>521.1</v>
      </c>
      <c r="K119" s="120">
        <v>1821.5</v>
      </c>
      <c r="L119" s="120">
        <v>1183.5</v>
      </c>
      <c r="M119" s="120">
        <v>701.1</v>
      </c>
      <c r="N119" s="120">
        <v>3031.3</v>
      </c>
      <c r="O119" s="120">
        <v>1469.4</v>
      </c>
      <c r="P119" s="120">
        <v>39886</v>
      </c>
    </row>
    <row r="120" spans="2:16">
      <c r="B120" s="110" t="s">
        <v>237</v>
      </c>
      <c r="C120" s="120">
        <v>155</v>
      </c>
      <c r="D120" s="120">
        <v>83.2</v>
      </c>
      <c r="E120" s="120">
        <v>0</v>
      </c>
      <c r="F120" s="120">
        <v>26</v>
      </c>
      <c r="G120" s="120">
        <v>0</v>
      </c>
      <c r="H120" s="120">
        <v>0</v>
      </c>
      <c r="I120" s="120">
        <v>0</v>
      </c>
      <c r="J120" s="120">
        <v>279.8</v>
      </c>
      <c r="K120" s="120">
        <v>200.8</v>
      </c>
      <c r="L120" s="120">
        <v>0</v>
      </c>
      <c r="M120" s="120">
        <v>0</v>
      </c>
      <c r="N120" s="120">
        <v>0</v>
      </c>
      <c r="O120" s="120">
        <v>0</v>
      </c>
      <c r="P120" s="120">
        <v>744.8</v>
      </c>
    </row>
    <row r="121" spans="2:16">
      <c r="B121" s="110" t="s">
        <v>232</v>
      </c>
      <c r="C121" s="120">
        <v>474.7</v>
      </c>
      <c r="D121" s="120">
        <v>1329.1</v>
      </c>
      <c r="E121" s="120">
        <v>0</v>
      </c>
      <c r="F121" s="120">
        <v>1500</v>
      </c>
      <c r="G121" s="120">
        <v>0</v>
      </c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  <c r="M121" s="120">
        <v>0</v>
      </c>
      <c r="N121" s="120">
        <v>0</v>
      </c>
      <c r="O121" s="120">
        <v>0</v>
      </c>
      <c r="P121" s="120">
        <v>3303.8</v>
      </c>
    </row>
    <row r="122" spans="2:16">
      <c r="B122" s="110" t="s">
        <v>22</v>
      </c>
      <c r="C122" s="120">
        <v>823.7</v>
      </c>
      <c r="D122" s="120">
        <v>426.3</v>
      </c>
      <c r="E122" s="120">
        <v>727.3</v>
      </c>
      <c r="F122" s="120">
        <v>196.5</v>
      </c>
      <c r="G122" s="120">
        <v>1878.6</v>
      </c>
      <c r="H122" s="120">
        <v>195.5</v>
      </c>
      <c r="I122" s="120">
        <v>0</v>
      </c>
      <c r="J122" s="120">
        <v>0</v>
      </c>
      <c r="K122" s="120">
        <v>661</v>
      </c>
      <c r="L122" s="120">
        <v>312.10000000000002</v>
      </c>
      <c r="M122" s="120">
        <v>2449.9</v>
      </c>
      <c r="N122" s="120">
        <v>733.3</v>
      </c>
      <c r="O122" s="120">
        <v>198</v>
      </c>
      <c r="P122" s="120">
        <v>8602.2000000000007</v>
      </c>
    </row>
    <row r="123" spans="2:16">
      <c r="B123" s="110" t="s">
        <v>239</v>
      </c>
      <c r="C123" s="120">
        <v>0</v>
      </c>
      <c r="D123" s="120">
        <v>0</v>
      </c>
      <c r="E123" s="120">
        <v>0</v>
      </c>
      <c r="F123" s="120">
        <v>0</v>
      </c>
      <c r="G123" s="120">
        <v>0</v>
      </c>
      <c r="H123" s="120">
        <v>0</v>
      </c>
      <c r="I123" s="120">
        <v>0</v>
      </c>
      <c r="J123" s="120">
        <v>0</v>
      </c>
      <c r="K123" s="120">
        <v>11465.7</v>
      </c>
      <c r="L123" s="120">
        <v>0</v>
      </c>
      <c r="M123" s="120">
        <v>0</v>
      </c>
      <c r="N123" s="120">
        <v>0</v>
      </c>
      <c r="O123" s="120">
        <v>2463.6</v>
      </c>
      <c r="P123" s="120">
        <v>13929.3</v>
      </c>
    </row>
    <row r="124" spans="2:16">
      <c r="B124" s="110" t="s">
        <v>228</v>
      </c>
      <c r="C124" s="120">
        <v>0</v>
      </c>
      <c r="D124" s="120">
        <v>952.9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952.9</v>
      </c>
    </row>
    <row r="125" spans="2:16">
      <c r="B125" s="110" t="s">
        <v>241</v>
      </c>
      <c r="C125" s="120">
        <v>0</v>
      </c>
      <c r="D125" s="120">
        <v>0</v>
      </c>
      <c r="E125" s="120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</row>
    <row r="126" spans="2:16">
      <c r="B126" s="110" t="s">
        <v>233</v>
      </c>
      <c r="C126" s="120">
        <v>0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</row>
    <row r="127" spans="2:16">
      <c r="B127" s="110" t="s">
        <v>234</v>
      </c>
      <c r="C127" s="120">
        <v>0</v>
      </c>
      <c r="D127" s="120">
        <v>0</v>
      </c>
      <c r="E127" s="120">
        <v>0</v>
      </c>
      <c r="F127" s="120">
        <v>0</v>
      </c>
      <c r="G127" s="120">
        <v>0</v>
      </c>
      <c r="H127" s="120">
        <v>0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</row>
    <row r="128" spans="2:16">
      <c r="B128" s="110" t="s">
        <v>231</v>
      </c>
      <c r="C128" s="120">
        <v>5655.5</v>
      </c>
      <c r="D128" s="120">
        <v>4767</v>
      </c>
      <c r="E128" s="120">
        <v>10463.6</v>
      </c>
      <c r="F128" s="120">
        <v>8519.5</v>
      </c>
      <c r="G128" s="120">
        <v>7187.7</v>
      </c>
      <c r="H128" s="120">
        <v>525.79999999999995</v>
      </c>
      <c r="I128" s="120">
        <v>2688.1</v>
      </c>
      <c r="J128" s="120">
        <v>1707.9</v>
      </c>
      <c r="K128" s="120">
        <v>4580.3999999999996</v>
      </c>
      <c r="L128" s="120">
        <v>6456</v>
      </c>
      <c r="M128" s="120">
        <v>12070.5</v>
      </c>
      <c r="N128" s="120">
        <v>4804</v>
      </c>
      <c r="O128" s="120">
        <v>2519.6999999999998</v>
      </c>
      <c r="P128" s="120">
        <v>71945.7</v>
      </c>
    </row>
    <row r="129" spans="2:16">
      <c r="B129" s="121" t="s">
        <v>0</v>
      </c>
      <c r="C129" s="122">
        <v>38769</v>
      </c>
      <c r="D129" s="122">
        <v>39763.199999999997</v>
      </c>
      <c r="E129" s="122">
        <v>47755.7</v>
      </c>
      <c r="F129" s="122">
        <v>37270.800000000003</v>
      </c>
      <c r="G129" s="122">
        <v>42128.4</v>
      </c>
      <c r="H129" s="122">
        <v>8661.6</v>
      </c>
      <c r="I129" s="122">
        <v>25259.7</v>
      </c>
      <c r="J129" s="122">
        <v>20989.7</v>
      </c>
      <c r="K129" s="122">
        <v>42425.1</v>
      </c>
      <c r="L129" s="122">
        <v>35082.1</v>
      </c>
      <c r="M129" s="122">
        <v>24632</v>
      </c>
      <c r="N129" s="122">
        <v>34513.9</v>
      </c>
      <c r="O129" s="122">
        <v>22309.1</v>
      </c>
      <c r="P129" s="122">
        <v>419560.3</v>
      </c>
    </row>
    <row r="130" spans="2:16">
      <c r="B130" s="110" t="s">
        <v>227</v>
      </c>
      <c r="C130" s="120">
        <v>316</v>
      </c>
      <c r="D130" s="120">
        <v>0</v>
      </c>
      <c r="E130" s="120">
        <v>0</v>
      </c>
      <c r="F130" s="120">
        <v>0</v>
      </c>
      <c r="G130" s="120">
        <v>2132.8000000000002</v>
      </c>
      <c r="H130" s="120">
        <v>3265.4</v>
      </c>
      <c r="I130" s="120">
        <v>8244.2000000000007</v>
      </c>
      <c r="J130" s="120">
        <v>208.4</v>
      </c>
      <c r="K130" s="120">
        <v>3100.2</v>
      </c>
      <c r="L130" s="120">
        <v>0</v>
      </c>
      <c r="M130" s="120">
        <v>0</v>
      </c>
      <c r="N130" s="120">
        <v>376.2</v>
      </c>
      <c r="O130" s="120">
        <v>14289.6</v>
      </c>
      <c r="P130" s="120">
        <v>31932.799999999999</v>
      </c>
    </row>
    <row r="131" spans="2:16">
      <c r="B131" s="110" t="s">
        <v>26</v>
      </c>
      <c r="C131" s="120">
        <v>653.70000000000005</v>
      </c>
      <c r="D131" s="120">
        <v>0</v>
      </c>
      <c r="E131" s="120">
        <v>40</v>
      </c>
      <c r="F131" s="120">
        <v>570.5</v>
      </c>
      <c r="G131" s="120">
        <v>1653.1</v>
      </c>
      <c r="H131" s="120">
        <v>16.7</v>
      </c>
      <c r="I131" s="120">
        <v>904.8</v>
      </c>
      <c r="J131" s="120">
        <v>783.8</v>
      </c>
      <c r="K131" s="120">
        <v>1575.6</v>
      </c>
      <c r="L131" s="120">
        <v>1898.2</v>
      </c>
      <c r="M131" s="120">
        <v>331</v>
      </c>
      <c r="N131" s="120">
        <v>910.9</v>
      </c>
      <c r="O131" s="120">
        <v>859.1</v>
      </c>
      <c r="P131" s="120">
        <v>10197.4</v>
      </c>
    </row>
    <row r="132" spans="2:16">
      <c r="B132" s="110" t="s">
        <v>235</v>
      </c>
      <c r="C132" s="120">
        <v>16113.4</v>
      </c>
      <c r="D132" s="120">
        <v>1422.6</v>
      </c>
      <c r="E132" s="120">
        <v>929.7</v>
      </c>
      <c r="F132" s="120">
        <v>1413.2</v>
      </c>
      <c r="G132" s="120">
        <v>89.7</v>
      </c>
      <c r="H132" s="120">
        <v>18.399999999999999</v>
      </c>
      <c r="I132" s="120">
        <v>2.7</v>
      </c>
      <c r="J132" s="120">
        <v>39.5</v>
      </c>
      <c r="K132" s="120">
        <v>0</v>
      </c>
      <c r="L132" s="120">
        <v>24.2</v>
      </c>
      <c r="M132" s="120">
        <v>0</v>
      </c>
      <c r="N132" s="120">
        <v>0</v>
      </c>
      <c r="O132" s="120">
        <v>4696.2</v>
      </c>
      <c r="P132" s="120">
        <v>24749.599999999999</v>
      </c>
    </row>
    <row r="133" spans="2:16">
      <c r="B133" s="110" t="s">
        <v>229</v>
      </c>
      <c r="C133" s="120">
        <v>17916.599999999999</v>
      </c>
      <c r="D133" s="120">
        <v>46116.4</v>
      </c>
      <c r="E133" s="120">
        <v>39454.400000000001</v>
      </c>
      <c r="F133" s="120">
        <v>39702.400000000001</v>
      </c>
      <c r="G133" s="120">
        <v>22758.3</v>
      </c>
      <c r="H133" s="120">
        <v>3709.8</v>
      </c>
      <c r="I133" s="120">
        <v>6336.3</v>
      </c>
      <c r="J133" s="120">
        <v>20030</v>
      </c>
      <c r="K133" s="120">
        <v>51191.5</v>
      </c>
      <c r="L133" s="120">
        <v>49736.3</v>
      </c>
      <c r="M133" s="120">
        <v>101506.1</v>
      </c>
      <c r="N133" s="120">
        <v>52921.9</v>
      </c>
      <c r="O133" s="120">
        <v>28184.1</v>
      </c>
      <c r="P133" s="120">
        <v>479564.1</v>
      </c>
    </row>
    <row r="134" spans="2:16">
      <c r="B134" s="110" t="s">
        <v>237</v>
      </c>
      <c r="C134" s="120">
        <v>0</v>
      </c>
      <c r="D134" s="120">
        <v>244.8</v>
      </c>
      <c r="E134" s="120">
        <v>0</v>
      </c>
      <c r="F134" s="120">
        <v>0</v>
      </c>
      <c r="G134" s="120">
        <v>0</v>
      </c>
      <c r="H134" s="120">
        <v>0</v>
      </c>
      <c r="I134" s="120">
        <v>0</v>
      </c>
      <c r="J134" s="120">
        <v>213.5</v>
      </c>
      <c r="K134" s="120">
        <v>0</v>
      </c>
      <c r="L134" s="120">
        <v>0</v>
      </c>
      <c r="M134" s="120">
        <v>204</v>
      </c>
      <c r="N134" s="120">
        <v>0</v>
      </c>
      <c r="O134" s="120">
        <v>0</v>
      </c>
      <c r="P134" s="120">
        <v>662.3</v>
      </c>
    </row>
    <row r="135" spans="2:16">
      <c r="B135" s="110" t="s">
        <v>232</v>
      </c>
      <c r="C135" s="120">
        <v>36462.400000000001</v>
      </c>
      <c r="D135" s="120">
        <v>7321.7</v>
      </c>
      <c r="E135" s="120">
        <v>2184.1999999999998</v>
      </c>
      <c r="F135" s="120">
        <v>4712.8999999999996</v>
      </c>
      <c r="G135" s="120">
        <v>1839.6</v>
      </c>
      <c r="H135" s="120">
        <v>10611</v>
      </c>
      <c r="I135" s="120">
        <v>978.8</v>
      </c>
      <c r="J135" s="120">
        <v>1049.8</v>
      </c>
      <c r="K135" s="120">
        <v>12.5</v>
      </c>
      <c r="L135" s="120">
        <v>105.1</v>
      </c>
      <c r="M135" s="120">
        <v>0</v>
      </c>
      <c r="N135" s="120">
        <v>42.8</v>
      </c>
      <c r="O135" s="120">
        <v>39780.1</v>
      </c>
      <c r="P135" s="120">
        <v>105100.9</v>
      </c>
    </row>
    <row r="136" spans="2:16">
      <c r="B136" s="110" t="s">
        <v>238</v>
      </c>
      <c r="C136" s="120">
        <v>105</v>
      </c>
      <c r="D136" s="120"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105</v>
      </c>
    </row>
    <row r="137" spans="2:16">
      <c r="B137" s="110" t="s">
        <v>22</v>
      </c>
      <c r="C137" s="120">
        <v>3600.4</v>
      </c>
      <c r="D137" s="120">
        <v>3856.5</v>
      </c>
      <c r="E137" s="120">
        <v>1791.1</v>
      </c>
      <c r="F137" s="120">
        <v>426.9</v>
      </c>
      <c r="G137" s="120">
        <v>206.1</v>
      </c>
      <c r="H137" s="120">
        <v>1.6</v>
      </c>
      <c r="I137" s="120">
        <v>40</v>
      </c>
      <c r="J137" s="120">
        <v>0</v>
      </c>
      <c r="K137" s="120">
        <v>0</v>
      </c>
      <c r="L137" s="120">
        <v>0</v>
      </c>
      <c r="M137" s="120">
        <v>106.7</v>
      </c>
      <c r="N137" s="120">
        <v>0</v>
      </c>
      <c r="O137" s="120">
        <v>7974.2</v>
      </c>
      <c r="P137" s="120">
        <v>18003.5</v>
      </c>
    </row>
    <row r="138" spans="2:16">
      <c r="B138" s="110" t="s">
        <v>228</v>
      </c>
      <c r="C138" s="120">
        <v>1564.5</v>
      </c>
      <c r="D138" s="120">
        <v>133</v>
      </c>
      <c r="E138" s="120">
        <v>107.5</v>
      </c>
      <c r="F138" s="120">
        <v>339.1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28.6</v>
      </c>
      <c r="P138" s="120">
        <v>2172.6999999999998</v>
      </c>
    </row>
    <row r="139" spans="2:16">
      <c r="B139" s="110" t="s">
        <v>241</v>
      </c>
      <c r="C139" s="120">
        <v>1103.3</v>
      </c>
      <c r="D139" s="120">
        <v>241.6</v>
      </c>
      <c r="E139" s="120">
        <v>112.3</v>
      </c>
      <c r="F139" s="120">
        <v>87.1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224.9</v>
      </c>
      <c r="P139" s="120">
        <v>1769.2</v>
      </c>
    </row>
    <row r="140" spans="2:16">
      <c r="B140" s="110" t="s">
        <v>233</v>
      </c>
      <c r="C140" s="120">
        <v>406.9</v>
      </c>
      <c r="D140" s="120">
        <v>261</v>
      </c>
      <c r="E140" s="120">
        <v>141</v>
      </c>
      <c r="F140" s="120">
        <v>9.1</v>
      </c>
      <c r="G140" s="120">
        <v>8.1999999999999993</v>
      </c>
      <c r="H140" s="120">
        <v>0</v>
      </c>
      <c r="I140" s="120">
        <v>0</v>
      </c>
      <c r="J140" s="120">
        <v>0</v>
      </c>
      <c r="K140" s="120">
        <v>0</v>
      </c>
      <c r="L140" s="120">
        <v>0.1</v>
      </c>
      <c r="M140" s="120">
        <v>0</v>
      </c>
      <c r="N140" s="120">
        <v>0</v>
      </c>
      <c r="O140" s="120">
        <v>0</v>
      </c>
      <c r="P140" s="120">
        <v>826.3</v>
      </c>
    </row>
    <row r="141" spans="2:16">
      <c r="B141" s="110" t="s">
        <v>234</v>
      </c>
      <c r="C141" s="120">
        <v>852.5</v>
      </c>
      <c r="D141" s="120">
        <v>1246</v>
      </c>
      <c r="E141" s="120">
        <v>584.1</v>
      </c>
      <c r="F141" s="120">
        <v>19.100000000000001</v>
      </c>
      <c r="G141" s="120">
        <v>112.5</v>
      </c>
      <c r="H141" s="120">
        <v>0</v>
      </c>
      <c r="I141" s="120">
        <v>0</v>
      </c>
      <c r="J141" s="120">
        <v>34.200000000000003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2848.4</v>
      </c>
    </row>
    <row r="142" spans="2:16">
      <c r="B142" s="110" t="s">
        <v>231</v>
      </c>
      <c r="C142" s="120">
        <v>2512.8000000000002</v>
      </c>
      <c r="D142" s="120">
        <v>2583.9</v>
      </c>
      <c r="E142" s="120">
        <v>4128.8</v>
      </c>
      <c r="F142" s="120">
        <v>1985.9</v>
      </c>
      <c r="G142" s="120">
        <v>1136.7</v>
      </c>
      <c r="H142" s="120">
        <v>36.6</v>
      </c>
      <c r="I142" s="120">
        <v>211.7</v>
      </c>
      <c r="J142" s="120">
        <v>399.9</v>
      </c>
      <c r="K142" s="120">
        <v>347.6</v>
      </c>
      <c r="L142" s="120">
        <v>619.4</v>
      </c>
      <c r="M142" s="120">
        <v>462.2</v>
      </c>
      <c r="N142" s="120">
        <v>1542.2</v>
      </c>
      <c r="O142" s="120">
        <v>110.8</v>
      </c>
      <c r="P142" s="120">
        <v>16078.5</v>
      </c>
    </row>
    <row r="143" spans="2:16">
      <c r="B143" s="121" t="s">
        <v>0</v>
      </c>
      <c r="C143" s="122">
        <v>81607.5</v>
      </c>
      <c r="D143" s="122">
        <v>63427.5</v>
      </c>
      <c r="E143" s="122">
        <v>49473.1</v>
      </c>
      <c r="F143" s="122">
        <v>49266.2</v>
      </c>
      <c r="G143" s="122">
        <v>29937</v>
      </c>
      <c r="H143" s="122">
        <v>17659.5</v>
      </c>
      <c r="I143" s="122">
        <v>16718.5</v>
      </c>
      <c r="J143" s="122">
        <v>22759.1</v>
      </c>
      <c r="K143" s="122">
        <v>56227.4</v>
      </c>
      <c r="L143" s="122">
        <v>52383.3</v>
      </c>
      <c r="M143" s="122">
        <v>102610</v>
      </c>
      <c r="N143" s="122">
        <v>55794</v>
      </c>
      <c r="O143" s="122">
        <v>96147.6</v>
      </c>
      <c r="P143" s="122">
        <v>694010.7</v>
      </c>
    </row>
    <row r="144" spans="2:16">
      <c r="B144" s="110"/>
      <c r="C144" s="120">
        <v>120376.5</v>
      </c>
      <c r="D144" s="120">
        <v>103190.7</v>
      </c>
      <c r="E144" s="120">
        <v>97228.800000000003</v>
      </c>
      <c r="F144" s="120">
        <v>86537</v>
      </c>
      <c r="G144" s="120">
        <v>72065.399999999994</v>
      </c>
      <c r="H144" s="120">
        <v>26321.1</v>
      </c>
      <c r="I144" s="120">
        <v>41978.2</v>
      </c>
      <c r="J144" s="120">
        <v>43748.800000000003</v>
      </c>
      <c r="K144" s="120">
        <v>98652.5</v>
      </c>
      <c r="L144" s="120">
        <v>87465.4</v>
      </c>
      <c r="M144" s="120">
        <v>127242</v>
      </c>
      <c r="N144" s="120">
        <v>90307.9</v>
      </c>
      <c r="O144" s="120">
        <v>118456.7</v>
      </c>
      <c r="P144" s="120">
        <v>1113571</v>
      </c>
    </row>
    <row r="145" spans="2:16">
      <c r="B145" s="146" t="s">
        <v>147</v>
      </c>
      <c r="C145" s="180">
        <v>87.556728906614183</v>
      </c>
      <c r="D145" s="180">
        <v>99.744870211693552</v>
      </c>
      <c r="E145" s="180">
        <v>92.796868855445524</v>
      </c>
      <c r="F145" s="180">
        <v>85.641688235673172</v>
      </c>
      <c r="G145" s="180">
        <v>72.567504581232612</v>
      </c>
      <c r="H145" s="180">
        <v>57.729230165327422</v>
      </c>
      <c r="I145" s="180">
        <v>79.770314770167502</v>
      </c>
      <c r="J145" s="180">
        <v>121.309709366052</v>
      </c>
      <c r="K145" s="180">
        <v>134.83571758442409</v>
      </c>
      <c r="L145" s="180">
        <v>127.14120420385321</v>
      </c>
      <c r="M145" s="180">
        <v>113.3135632510555</v>
      </c>
      <c r="N145" s="180">
        <v>162.9664201959211</v>
      </c>
      <c r="O145" s="180">
        <v>103.35827039190281</v>
      </c>
      <c r="P145" s="146"/>
    </row>
    <row r="146" spans="2:16">
      <c r="B146" s="147" t="s">
        <v>148</v>
      </c>
      <c r="C146" s="181">
        <v>7.4697515546977913</v>
      </c>
      <c r="D146" s="181">
        <v>13.818519942959069</v>
      </c>
      <c r="E146" s="181">
        <v>13.888661312915501</v>
      </c>
      <c r="F146" s="181">
        <v>14.3992637954622</v>
      </c>
      <c r="G146" s="181">
        <v>25.761619400741559</v>
      </c>
      <c r="H146" s="181">
        <v>8.3765287805430511</v>
      </c>
      <c r="I146" s="181">
        <v>14.89423572688937</v>
      </c>
      <c r="J146" s="181">
        <v>28.596647239372651</v>
      </c>
      <c r="K146" s="181">
        <v>33.966924844470853</v>
      </c>
      <c r="L146" s="181">
        <v>38.350846548422872</v>
      </c>
      <c r="M146" s="181">
        <v>37.917982149483429</v>
      </c>
      <c r="N146" s="181">
        <v>45.53225866580636</v>
      </c>
      <c r="O146" s="181">
        <v>12.538535023235109</v>
      </c>
      <c r="P146" s="147"/>
    </row>
    <row r="147" spans="2:16" ht="1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5"/>
    </row>
    <row r="148" spans="2:16" ht="15">
      <c r="B148" s="119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15"/>
    </row>
    <row r="149" spans="2:16" ht="1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5"/>
    </row>
    <row r="150" spans="2:16" ht="1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5"/>
    </row>
    <row r="151" spans="2:16" ht="1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0" t="s">
        <v>74</v>
      </c>
      <c r="O151" s="175">
        <f>(O129-C129)/C129</f>
        <v>-0.42456343986174527</v>
      </c>
      <c r="P151" s="115"/>
    </row>
    <row r="152" spans="2:16" ht="1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0" t="s">
        <v>75</v>
      </c>
      <c r="O152" s="175">
        <f>(O143-C143)/C143</f>
        <v>0.17817112397757567</v>
      </c>
      <c r="P152" s="115"/>
    </row>
    <row r="153" spans="2:16" ht="1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0" t="s">
        <v>78</v>
      </c>
      <c r="O153" s="175">
        <f>((O129+O143)-(C129+C143))/(C129+C143)</f>
        <v>-1.5948295556026205E-2</v>
      </c>
      <c r="P153" s="115"/>
    </row>
    <row r="154" spans="2:16" ht="1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0" t="s">
        <v>72</v>
      </c>
      <c r="O154" s="175">
        <f>(O145-C145)/C145</f>
        <v>0.18047204004322903</v>
      </c>
      <c r="P154" s="115"/>
    </row>
    <row r="155" spans="2:16" ht="1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0" t="s">
        <v>73</v>
      </c>
      <c r="O155" s="175">
        <f>(O146-C146)/C146</f>
        <v>0.67857457258394571</v>
      </c>
      <c r="P155" s="115"/>
    </row>
    <row r="157" spans="2:16">
      <c r="B157" s="107" t="s">
        <v>246</v>
      </c>
    </row>
    <row r="158" spans="2:16">
      <c r="B158" s="109" t="s">
        <v>32</v>
      </c>
      <c r="C158" s="109" t="s">
        <v>136</v>
      </c>
      <c r="D158" s="109" t="s">
        <v>136</v>
      </c>
      <c r="E158" s="109" t="s">
        <v>136</v>
      </c>
      <c r="F158" s="109" t="s">
        <v>136</v>
      </c>
      <c r="G158" s="109" t="s">
        <v>136</v>
      </c>
      <c r="H158" s="109" t="s">
        <v>136</v>
      </c>
      <c r="I158" s="109" t="s">
        <v>136</v>
      </c>
      <c r="J158" s="109" t="s">
        <v>136</v>
      </c>
      <c r="K158" s="109" t="s">
        <v>136</v>
      </c>
      <c r="L158" s="109" t="s">
        <v>136</v>
      </c>
      <c r="M158" s="109" t="s">
        <v>136</v>
      </c>
      <c r="N158" s="109" t="s">
        <v>136</v>
      </c>
      <c r="O158" s="109" t="s">
        <v>136</v>
      </c>
    </row>
    <row r="159" spans="2:16">
      <c r="B159" s="109" t="s">
        <v>122</v>
      </c>
      <c r="C159" s="109" t="s">
        <v>210</v>
      </c>
      <c r="D159" s="109" t="s">
        <v>216</v>
      </c>
      <c r="E159" s="109" t="s">
        <v>217</v>
      </c>
      <c r="F159" s="109" t="s">
        <v>218</v>
      </c>
      <c r="G159" s="109" t="s">
        <v>219</v>
      </c>
      <c r="H159" s="109" t="s">
        <v>220</v>
      </c>
      <c r="I159" s="109" t="s">
        <v>221</v>
      </c>
      <c r="J159" s="109" t="s">
        <v>222</v>
      </c>
      <c r="K159" s="109" t="s">
        <v>223</v>
      </c>
      <c r="L159" s="109" t="s">
        <v>224</v>
      </c>
      <c r="M159" s="109" t="s">
        <v>104</v>
      </c>
      <c r="N159" s="109" t="s">
        <v>225</v>
      </c>
      <c r="O159" s="109" t="s">
        <v>199</v>
      </c>
    </row>
    <row r="160" spans="2:16">
      <c r="B160" s="109" t="s">
        <v>127</v>
      </c>
      <c r="C160" s="109" t="s">
        <v>6</v>
      </c>
      <c r="D160" s="109" t="s">
        <v>7</v>
      </c>
      <c r="E160" s="109" t="s">
        <v>8</v>
      </c>
      <c r="F160" s="109" t="s">
        <v>7</v>
      </c>
      <c r="G160" s="109" t="s">
        <v>9</v>
      </c>
      <c r="H160" s="109" t="s">
        <v>9</v>
      </c>
      <c r="I160" s="109" t="s">
        <v>8</v>
      </c>
      <c r="J160" s="109" t="s">
        <v>10</v>
      </c>
      <c r="K160" s="109" t="s">
        <v>11</v>
      </c>
      <c r="L160" s="109" t="s">
        <v>12</v>
      </c>
      <c r="M160" s="109" t="s">
        <v>13</v>
      </c>
      <c r="N160" s="109" t="s">
        <v>5</v>
      </c>
      <c r="O160" s="109" t="s">
        <v>6</v>
      </c>
    </row>
    <row r="161" spans="2:15">
      <c r="B161" s="110" t="s">
        <v>236</v>
      </c>
      <c r="C161" s="120">
        <v>0</v>
      </c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</row>
    <row r="162" spans="2:15">
      <c r="B162" s="110" t="s">
        <v>227</v>
      </c>
      <c r="C162" s="120">
        <v>105334.2</v>
      </c>
      <c r="D162" s="120">
        <v>63887.5</v>
      </c>
      <c r="E162" s="120">
        <v>26224.400000000001</v>
      </c>
      <c r="F162" s="120">
        <v>115140.8</v>
      </c>
      <c r="G162" s="120">
        <v>1863</v>
      </c>
      <c r="H162" s="120">
        <v>0</v>
      </c>
      <c r="I162" s="120">
        <v>0</v>
      </c>
      <c r="J162" s="120">
        <v>0</v>
      </c>
      <c r="K162" s="120">
        <v>34726.1</v>
      </c>
      <c r="L162" s="120">
        <v>23135.1</v>
      </c>
      <c r="M162" s="120">
        <v>5215.5</v>
      </c>
      <c r="N162" s="120">
        <v>5325.4</v>
      </c>
      <c r="O162" s="120">
        <v>1383.6</v>
      </c>
    </row>
    <row r="163" spans="2:15">
      <c r="B163" s="110" t="s">
        <v>26</v>
      </c>
      <c r="C163" s="120">
        <v>126600.8</v>
      </c>
      <c r="D163" s="120">
        <v>236337.4</v>
      </c>
      <c r="E163" s="120">
        <v>216603.9</v>
      </c>
      <c r="F163" s="120">
        <v>176958.3</v>
      </c>
      <c r="G163" s="120">
        <v>1250.7</v>
      </c>
      <c r="H163" s="120">
        <v>0</v>
      </c>
      <c r="I163" s="120">
        <v>0</v>
      </c>
      <c r="J163" s="120">
        <v>19356.8</v>
      </c>
      <c r="K163" s="120">
        <v>332294.3</v>
      </c>
      <c r="L163" s="120">
        <v>196729.3</v>
      </c>
      <c r="M163" s="120">
        <v>112859.3</v>
      </c>
      <c r="N163" s="120">
        <v>179227.5</v>
      </c>
      <c r="O163" s="120">
        <v>10714</v>
      </c>
    </row>
    <row r="164" spans="2:15">
      <c r="B164" s="110" t="s">
        <v>235</v>
      </c>
      <c r="C164" s="120">
        <v>0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</row>
    <row r="165" spans="2:15">
      <c r="B165" s="110" t="s">
        <v>229</v>
      </c>
      <c r="C165" s="120">
        <v>0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</row>
    <row r="166" spans="2:15">
      <c r="B166" s="110" t="s">
        <v>237</v>
      </c>
      <c r="C166" s="120">
        <v>0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</row>
    <row r="167" spans="2:15">
      <c r="B167" s="110" t="s">
        <v>232</v>
      </c>
      <c r="C167" s="120">
        <v>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</row>
    <row r="168" spans="2:15">
      <c r="B168" s="110" t="s">
        <v>238</v>
      </c>
      <c r="C168" s="120">
        <v>0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</row>
    <row r="169" spans="2:15">
      <c r="B169" s="110" t="s">
        <v>22</v>
      </c>
      <c r="C169" s="120">
        <v>0</v>
      </c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</row>
    <row r="170" spans="2:15">
      <c r="B170" s="110" t="s">
        <v>239</v>
      </c>
      <c r="C170" s="120">
        <v>0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  <c r="N170" s="120">
        <v>0</v>
      </c>
      <c r="O170" s="120">
        <v>0</v>
      </c>
    </row>
    <row r="171" spans="2:15">
      <c r="B171" s="110" t="s">
        <v>240</v>
      </c>
      <c r="C171" s="120">
        <v>0</v>
      </c>
      <c r="D171" s="120">
        <v>0</v>
      </c>
      <c r="E171" s="120">
        <v>0</v>
      </c>
      <c r="F171" s="120">
        <v>0</v>
      </c>
      <c r="G171" s="120">
        <v>0</v>
      </c>
      <c r="H171" s="120">
        <v>0</v>
      </c>
      <c r="I171" s="120">
        <v>0</v>
      </c>
      <c r="J171" s="120">
        <v>0</v>
      </c>
      <c r="K171" s="120">
        <v>0</v>
      </c>
      <c r="L171" s="120">
        <v>0</v>
      </c>
      <c r="M171" s="120">
        <v>0</v>
      </c>
      <c r="N171" s="120">
        <v>0</v>
      </c>
      <c r="O171" s="120">
        <v>0</v>
      </c>
    </row>
    <row r="172" spans="2:15">
      <c r="B172" s="110" t="s">
        <v>228</v>
      </c>
      <c r="C172" s="120">
        <v>0</v>
      </c>
      <c r="D172" s="120">
        <v>0</v>
      </c>
      <c r="E172" s="120">
        <v>0</v>
      </c>
      <c r="F172" s="120">
        <v>0</v>
      </c>
      <c r="G172" s="120">
        <v>0</v>
      </c>
      <c r="H172" s="120">
        <v>0</v>
      </c>
      <c r="I172" s="120">
        <v>0</v>
      </c>
      <c r="J172" s="120">
        <v>0</v>
      </c>
      <c r="K172" s="120">
        <v>0</v>
      </c>
      <c r="L172" s="120">
        <v>0</v>
      </c>
      <c r="M172" s="120">
        <v>0</v>
      </c>
      <c r="N172" s="120">
        <v>0</v>
      </c>
      <c r="O172" s="120">
        <v>0</v>
      </c>
    </row>
    <row r="173" spans="2:15">
      <c r="B173" s="110" t="s">
        <v>241</v>
      </c>
      <c r="C173" s="120">
        <v>0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I173" s="120">
        <v>0</v>
      </c>
      <c r="J173" s="120">
        <v>0</v>
      </c>
      <c r="K173" s="120">
        <v>0</v>
      </c>
      <c r="L173" s="120">
        <v>0</v>
      </c>
      <c r="M173" s="120">
        <v>0</v>
      </c>
      <c r="N173" s="120">
        <v>0</v>
      </c>
      <c r="O173" s="120">
        <v>0</v>
      </c>
    </row>
    <row r="174" spans="2:15">
      <c r="B174" s="110" t="s">
        <v>233</v>
      </c>
      <c r="C174" s="120">
        <v>0</v>
      </c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</row>
    <row r="175" spans="2:15">
      <c r="B175" s="110" t="s">
        <v>234</v>
      </c>
      <c r="C175" s="120">
        <v>0</v>
      </c>
      <c r="D175" s="120">
        <v>0</v>
      </c>
      <c r="E175" s="120">
        <v>0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20">
        <v>0</v>
      </c>
    </row>
    <row r="176" spans="2:15">
      <c r="B176" s="110" t="s">
        <v>231</v>
      </c>
      <c r="C176" s="120">
        <v>0</v>
      </c>
      <c r="D176" s="120">
        <v>0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0</v>
      </c>
      <c r="K176" s="120">
        <v>0</v>
      </c>
      <c r="L176" s="120">
        <v>0</v>
      </c>
      <c r="M176" s="120">
        <v>0</v>
      </c>
      <c r="N176" s="120">
        <v>0</v>
      </c>
      <c r="O176" s="120">
        <v>0</v>
      </c>
    </row>
    <row r="177" spans="2:15">
      <c r="B177" s="110" t="s">
        <v>147</v>
      </c>
      <c r="C177" s="181">
        <v>23.176032897147909</v>
      </c>
      <c r="D177" s="181">
        <v>27.33270774675918</v>
      </c>
      <c r="E177" s="181">
        <v>24.68469078768825</v>
      </c>
      <c r="F177" s="181">
        <v>21.121754466206841</v>
      </c>
      <c r="G177" s="181">
        <v>15.350004817419791</v>
      </c>
      <c r="H177" s="181" t="s">
        <v>184</v>
      </c>
      <c r="I177" s="181" t="s">
        <v>184</v>
      </c>
      <c r="J177" s="181">
        <v>24.21656885435609</v>
      </c>
      <c r="K177" s="181">
        <v>14.40842994013412</v>
      </c>
      <c r="L177" s="181">
        <v>14.486918722548889</v>
      </c>
      <c r="M177" s="181">
        <v>14.401166379278219</v>
      </c>
      <c r="N177" s="181">
        <v>35.270028485057672</v>
      </c>
      <c r="O177" s="181">
        <v>27.78792653088216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topLeftCell="B1" zoomScaleNormal="100" workbookViewId="0">
      <selection activeCell="H35" sqref="H35:H37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37</v>
      </c>
    </row>
    <row r="3" spans="3:12" ht="12.75">
      <c r="C3" s="1"/>
      <c r="D3" s="1"/>
      <c r="L3" s="20" t="s">
        <v>185</v>
      </c>
    </row>
    <row r="4" spans="3:12" ht="12.75">
      <c r="C4" s="21" t="s">
        <v>36</v>
      </c>
    </row>
    <row r="5" spans="3:12" ht="11.25">
      <c r="C5" s="4"/>
    </row>
    <row r="6" spans="3:12" ht="11.25">
      <c r="C6" s="5"/>
    </row>
    <row r="7" spans="3:12" ht="10.5" customHeight="1">
      <c r="C7" s="183" t="s">
        <v>49</v>
      </c>
    </row>
    <row r="8" spans="3:12" ht="10.5" customHeight="1">
      <c r="C8" s="183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OutlineSymbols="0" topLeftCell="A2" workbookViewId="0">
      <selection activeCell="I18" sqref="I1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37</v>
      </c>
    </row>
    <row r="3" spans="2:6" s="1" customFormat="1" ht="15" customHeight="1">
      <c r="E3" s="20" t="s">
        <v>185</v>
      </c>
    </row>
    <row r="4" spans="2:6" s="2" customFormat="1" ht="19.899999999999999" customHeight="1">
      <c r="B4" s="3"/>
      <c r="C4" s="21" t="s">
        <v>36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83" t="s">
        <v>145</v>
      </c>
      <c r="D7" s="6"/>
      <c r="E7" s="7"/>
    </row>
    <row r="8" spans="2:6" s="2" customFormat="1" ht="12.75" customHeight="1">
      <c r="B8" s="3"/>
      <c r="C8" s="183"/>
      <c r="D8" s="6"/>
      <c r="E8" s="7"/>
    </row>
    <row r="9" spans="2:6" s="2" customFormat="1" ht="12.75" customHeight="1">
      <c r="B9" s="3"/>
      <c r="C9" s="183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92</v>
      </c>
    </row>
    <row r="12" spans="2:6" s="2" customFormat="1" ht="12.75" customHeight="1">
      <c r="B12" s="3"/>
      <c r="C12" s="41"/>
      <c r="D12" s="6"/>
      <c r="E12" s="7"/>
      <c r="F12" s="63" t="s">
        <v>93</v>
      </c>
    </row>
    <row r="13" spans="2:6" s="2" customFormat="1" ht="12.75" customHeight="1">
      <c r="B13" s="3"/>
      <c r="C13" s="5"/>
      <c r="D13" s="6"/>
      <c r="E13" s="7"/>
      <c r="F13" s="63" t="s">
        <v>94</v>
      </c>
    </row>
    <row r="14" spans="2:6" s="2" customFormat="1" ht="12.75" customHeight="1">
      <c r="B14" s="3"/>
      <c r="C14" s="5"/>
      <c r="D14" s="6"/>
      <c r="E14" s="7"/>
      <c r="F14" s="63" t="s">
        <v>95</v>
      </c>
    </row>
    <row r="15" spans="2:6" s="2" customFormat="1" ht="12.75" customHeight="1">
      <c r="B15" s="3"/>
      <c r="C15" s="5"/>
      <c r="D15" s="6"/>
      <c r="E15" s="7"/>
      <c r="F15" s="63" t="s">
        <v>96</v>
      </c>
    </row>
    <row r="16" spans="2:6" s="2" customFormat="1" ht="12.75" customHeight="1">
      <c r="B16" s="3"/>
      <c r="C16" s="5"/>
      <c r="D16" s="6"/>
      <c r="E16" s="7"/>
      <c r="F16" s="63" t="s">
        <v>95</v>
      </c>
    </row>
    <row r="17" spans="2:13" s="2" customFormat="1" ht="12.75" customHeight="1">
      <c r="B17" s="3"/>
      <c r="C17" s="5"/>
      <c r="D17" s="6"/>
      <c r="E17" s="7"/>
      <c r="F17" s="63" t="s">
        <v>97</v>
      </c>
    </row>
    <row r="18" spans="2:13" s="2" customFormat="1" ht="12.75" customHeight="1">
      <c r="B18" s="3"/>
      <c r="C18" s="5"/>
      <c r="D18" s="6"/>
      <c r="E18" s="7"/>
      <c r="F18" s="63" t="s">
        <v>97</v>
      </c>
    </row>
    <row r="19" spans="2:13" s="2" customFormat="1" ht="12.75" customHeight="1">
      <c r="B19" s="3"/>
      <c r="C19" s="5"/>
      <c r="D19" s="6"/>
      <c r="E19" s="7"/>
      <c r="F19" s="63" t="s">
        <v>96</v>
      </c>
    </row>
    <row r="20" spans="2:13" s="2" customFormat="1" ht="12.75" customHeight="1">
      <c r="B20" s="3"/>
      <c r="C20" s="5"/>
      <c r="D20" s="6"/>
      <c r="E20" s="7"/>
      <c r="F20" s="63" t="s">
        <v>98</v>
      </c>
    </row>
    <row r="21" spans="2:13" s="2" customFormat="1" ht="12.75" customHeight="1">
      <c r="B21" s="3"/>
      <c r="C21" s="5"/>
      <c r="D21" s="6"/>
      <c r="E21" s="7"/>
      <c r="F21" s="63" t="s">
        <v>99</v>
      </c>
    </row>
    <row r="22" spans="2:13">
      <c r="E22" s="7"/>
      <c r="F22" s="63" t="s">
        <v>100</v>
      </c>
    </row>
    <row r="23" spans="2:13">
      <c r="E23" s="7"/>
      <c r="F23" s="63" t="s">
        <v>92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OutlineSymbols="0" topLeftCell="A2" workbookViewId="0">
      <selection activeCell="K23" sqref="K23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37</v>
      </c>
    </row>
    <row r="3" spans="2:19" s="1" customFormat="1" ht="15" customHeight="1">
      <c r="E3" s="96" t="s">
        <v>185</v>
      </c>
    </row>
    <row r="4" spans="2:19" s="2" customFormat="1" ht="19.899999999999999" customHeight="1">
      <c r="B4" s="3"/>
      <c r="C4" s="21" t="s">
        <v>36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83" t="s">
        <v>91</v>
      </c>
      <c r="D7" s="6"/>
      <c r="E7" s="14"/>
    </row>
    <row r="8" spans="2:19" s="2" customFormat="1" ht="12.75" customHeight="1">
      <c r="B8" s="3"/>
      <c r="C8" s="183"/>
      <c r="D8" s="6"/>
      <c r="E8" s="14"/>
    </row>
    <row r="9" spans="2:19" s="2" customFormat="1" ht="18" customHeight="1">
      <c r="B9" s="3"/>
      <c r="C9" s="183"/>
      <c r="D9" s="6"/>
      <c r="E9" s="14"/>
      <c r="F9" s="63" t="str">
        <f>MID('Data 1'!B62,1,1)</f>
        <v>F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M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A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M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J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J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A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S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O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N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D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E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F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zoomScaleNormal="100" workbookViewId="0">
      <selection activeCell="M20" sqref="M20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37</v>
      </c>
    </row>
    <row r="3" spans="1:8">
      <c r="H3" s="96" t="s">
        <v>185</v>
      </c>
    </row>
    <row r="4" spans="1:8">
      <c r="B4" s="21" t="s">
        <v>36</v>
      </c>
    </row>
    <row r="7" spans="1:8" ht="12.75" customHeight="1">
      <c r="B7" s="184" t="s">
        <v>56</v>
      </c>
    </row>
    <row r="8" spans="1:8">
      <c r="B8" s="184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OutlineSymbols="0" topLeftCell="A2" zoomScale="80" zoomScaleNormal="80" workbookViewId="0">
      <selection activeCell="F36" sqref="F3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185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36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84" t="s">
        <v>33</v>
      </c>
      <c r="D7" s="6"/>
      <c r="E7" s="14"/>
    </row>
    <row r="8" spans="2:39" s="2" customFormat="1" ht="12.75" customHeight="1">
      <c r="B8" s="3"/>
      <c r="C8" s="184"/>
      <c r="D8" s="6"/>
      <c r="E8" s="14"/>
    </row>
    <row r="9" spans="2:39" s="2" customFormat="1" ht="12.75" customHeight="1">
      <c r="B9" s="3"/>
      <c r="C9" s="184"/>
      <c r="D9" s="6"/>
      <c r="E9" s="14"/>
    </row>
    <row r="10" spans="2:39" s="2" customFormat="1" ht="12.75" customHeight="1">
      <c r="B10" s="3"/>
      <c r="C10" s="184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34</v>
      </c>
    </row>
    <row r="34" spans="6:6">
      <c r="F34" s="86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OutlineSymbols="0" topLeftCell="A2" zoomScaleNormal="100" workbookViewId="0">
      <selection activeCell="F14" sqref="F1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85" t="s">
        <v>37</v>
      </c>
      <c r="F2" s="185"/>
      <c r="G2" s="185"/>
      <c r="H2" s="12"/>
      <c r="I2" s="12"/>
    </row>
    <row r="3" spans="2:9" s="1" customFormat="1" ht="15" customHeight="1">
      <c r="E3" s="186" t="s">
        <v>185</v>
      </c>
      <c r="F3" s="186"/>
      <c r="G3" s="186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84" t="s">
        <v>140</v>
      </c>
      <c r="D7" s="69"/>
      <c r="E7" s="70"/>
      <c r="F7" s="90"/>
      <c r="G7" s="90"/>
    </row>
    <row r="8" spans="2:9" s="71" customFormat="1" ht="15" customHeight="1">
      <c r="B8" s="68"/>
      <c r="C8" s="184"/>
      <c r="D8" s="69"/>
      <c r="E8" s="72"/>
      <c r="F8" s="73" t="s">
        <v>212</v>
      </c>
      <c r="G8" s="73" t="s">
        <v>185</v>
      </c>
    </row>
    <row r="9" spans="2:9" s="2" customFormat="1" ht="15" customHeight="1">
      <c r="B9" s="3"/>
      <c r="C9" s="52"/>
      <c r="D9" s="6"/>
      <c r="E9" s="66" t="s">
        <v>65</v>
      </c>
      <c r="F9" s="104">
        <f>-VLOOKUP("Restricciones PBF - Coste",'Data 1'!F107:H125,3,FALSE)/1000000</f>
        <v>53.246548490000002</v>
      </c>
      <c r="G9" s="104">
        <f>-VLOOKUP("Restricciones PBF - Coste",'Data 1'!B107:D125,3,FALSE)/1000000</f>
        <v>36.297797229999993</v>
      </c>
    </row>
    <row r="10" spans="2:9" s="2" customFormat="1" ht="15" customHeight="1">
      <c r="B10" s="3"/>
      <c r="C10" s="184"/>
      <c r="D10" s="6"/>
      <c r="E10" s="66" t="s">
        <v>66</v>
      </c>
      <c r="F10" s="104">
        <f>-VLOOKUP("Restricciones tiempo real (SC)",'Data 1'!F107:H125,3,FALSE)/1000000</f>
        <v>2.69631541</v>
      </c>
      <c r="G10" s="104">
        <f>-VLOOKUP("Restricciones tiempo real (SC)",'Data 1'!B107:D125,3,FALSE)/1000000</f>
        <v>4.6184337699999993</v>
      </c>
    </row>
    <row r="11" spans="2:9" s="2" customFormat="1" ht="15" customHeight="1">
      <c r="B11" s="3"/>
      <c r="C11" s="184"/>
      <c r="D11" s="6"/>
      <c r="E11" s="66" t="s">
        <v>59</v>
      </c>
      <c r="F11" s="104">
        <f>SUM(F9:F10)</f>
        <v>55.942863899999999</v>
      </c>
      <c r="G11" s="104">
        <f>SUM(G9:G10)</f>
        <v>40.916230999999996</v>
      </c>
    </row>
    <row r="12" spans="2:9" s="2" customFormat="1" ht="15" customHeight="1">
      <c r="B12" s="3"/>
      <c r="C12" s="184"/>
      <c r="D12" s="6"/>
      <c r="E12" s="66" t="s">
        <v>24</v>
      </c>
      <c r="F12" s="104">
        <f>-VLOOKUP("Banda secundaria - CF",'Data 1'!F107:H125,3,FALSE)/1000000</f>
        <v>22.847616110000001</v>
      </c>
      <c r="G12" s="104">
        <f>-VLOOKUP("Banda secundaria - CF",'Data 1'!B107:D125,3,FALSE)/1000000</f>
        <v>12.975604000000001</v>
      </c>
    </row>
    <row r="13" spans="2:9" s="2" customFormat="1" ht="15" customHeight="1">
      <c r="B13" s="3"/>
      <c r="C13" s="5"/>
      <c r="D13" s="6"/>
      <c r="E13" s="66" t="s">
        <v>27</v>
      </c>
      <c r="F13" s="104">
        <f>-IFERROR(VLOOKUP("Reserva subir - Coste",'Data 1'!F107:H125,3,FALSE)/1000000,0)</f>
        <v>5.0575975800000004</v>
      </c>
      <c r="G13" s="104">
        <f>-IFERROR(VLOOKUP("Reserva subir - Coste",'Data 1'!B107:D125,3,FALSE)/1000000,0)</f>
        <v>0.33616721999999999</v>
      </c>
    </row>
    <row r="14" spans="2:9" s="2" customFormat="1" ht="15" customHeight="1">
      <c r="B14" s="3"/>
      <c r="C14" s="5"/>
      <c r="D14" s="6"/>
      <c r="E14" s="66" t="s">
        <v>17</v>
      </c>
      <c r="F14" s="104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2.44454671</v>
      </c>
      <c r="G14" s="104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-1.062247989999999</v>
      </c>
    </row>
    <row r="15" spans="2:9" s="2" customFormat="1" ht="15" customHeight="1">
      <c r="B15" s="3"/>
      <c r="C15" s="5"/>
      <c r="D15" s="6"/>
      <c r="E15" s="66" t="s">
        <v>42</v>
      </c>
      <c r="F15" s="104">
        <f>-IFERROR(VLOOKUP("Saldo desvíos",'Data 1'!F107:H125,3,FALSE)/1000000,0)</f>
        <v>-2.26307071</v>
      </c>
      <c r="G15" s="104">
        <f>-IFERROR(VLOOKUP("Saldo desvíos",'Data 1'!B107:D125,3,FALSE)/1000000,0)</f>
        <v>-1.80317883</v>
      </c>
    </row>
    <row r="16" spans="2:9" s="2" customFormat="1" ht="15" customHeight="1">
      <c r="B16" s="3"/>
      <c r="C16" s="5"/>
      <c r="D16" s="6"/>
      <c r="E16" s="66" t="s">
        <v>60</v>
      </c>
      <c r="F16" s="104">
        <f>-IFERROR(VLOOKUP("Control del factor de potencia",'Data 1'!F107:H125,3,FALSE)/1000000,0)</f>
        <v>0</v>
      </c>
      <c r="G16" s="104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61</v>
      </c>
      <c r="F17" s="105">
        <f>SUM(F11:F16)</f>
        <v>84.029553590000006</v>
      </c>
      <c r="G17" s="105">
        <f>SUM(G11:G16)</f>
        <v>51.362575400000004</v>
      </c>
    </row>
    <row r="18" spans="2:10" s="2" customFormat="1" ht="15" customHeight="1">
      <c r="B18" s="3"/>
      <c r="C18" s="5"/>
      <c r="D18" s="5"/>
      <c r="E18" s="74" t="s">
        <v>64</v>
      </c>
      <c r="F18" s="65"/>
      <c r="G18" s="75">
        <f>(G17-F17)/F17</f>
        <v>-0.38875582214074211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OutlineSymbols="0" topLeftCell="A2" zoomScaleNormal="100" workbookViewId="0">
      <selection activeCell="E30" sqref="E3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37</v>
      </c>
      <c r="F2" s="12"/>
      <c r="G2" s="12"/>
      <c r="H2" s="12"/>
      <c r="I2" s="12"/>
    </row>
    <row r="3" spans="2:9" s="1" customFormat="1" ht="15" customHeight="1">
      <c r="E3" s="20" t="s">
        <v>185</v>
      </c>
      <c r="F3" s="13"/>
      <c r="G3" s="13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84" t="s">
        <v>62</v>
      </c>
      <c r="D7" s="6"/>
      <c r="E7" s="14"/>
    </row>
    <row r="8" spans="2:9" s="2" customFormat="1" ht="12.75" customHeight="1">
      <c r="B8" s="3"/>
      <c r="C8" s="184"/>
      <c r="D8" s="6"/>
      <c r="E8" s="14"/>
    </row>
    <row r="9" spans="2:9" s="2" customFormat="1" ht="12.75" customHeight="1">
      <c r="B9" s="3"/>
      <c r="C9" s="52" t="s">
        <v>63</v>
      </c>
      <c r="D9" s="6"/>
      <c r="E9" s="14"/>
    </row>
    <row r="10" spans="2:9" s="2" customFormat="1" ht="12.75" customHeight="1">
      <c r="B10" s="3"/>
      <c r="C10" s="184"/>
      <c r="D10" s="6"/>
      <c r="E10" s="14"/>
    </row>
    <row r="11" spans="2:9" s="2" customFormat="1" ht="12.75" customHeight="1">
      <c r="B11" s="3"/>
      <c r="C11" s="184"/>
      <c r="D11" s="6"/>
      <c r="E11" s="11"/>
    </row>
    <row r="12" spans="2:9" s="2" customFormat="1" ht="12.75" customHeight="1">
      <c r="B12" s="3"/>
      <c r="C12" s="184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topLeftCell="A4" zoomScaleNormal="100" workbookViewId="0">
      <selection activeCell="P26" sqref="P26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37</v>
      </c>
    </row>
    <row r="2" spans="1:38">
      <c r="L2" s="20" t="s">
        <v>185</v>
      </c>
    </row>
    <row r="4" spans="1:38">
      <c r="A4" s="33"/>
      <c r="B4" s="21" t="s">
        <v>36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84" t="s">
        <v>44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84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88</v>
      </c>
      <c r="F9" s="35"/>
      <c r="G9" s="35"/>
    </row>
    <row r="10" spans="1:38">
      <c r="B10" s="184"/>
      <c r="F10" s="35"/>
      <c r="G10" s="35"/>
    </row>
    <row r="11" spans="1:38">
      <c r="B11" s="184"/>
      <c r="F11" s="35"/>
      <c r="G11" s="35"/>
    </row>
    <row r="12" spans="1:38" s="34" customFormat="1">
      <c r="B12" s="184"/>
      <c r="F12" s="35"/>
      <c r="G12" s="35"/>
    </row>
    <row r="13" spans="1:38">
      <c r="B13" s="184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FUEPERRO</cp:lastModifiedBy>
  <cp:lastPrinted>2016-08-30T06:59:14Z</cp:lastPrinted>
  <dcterms:created xsi:type="dcterms:W3CDTF">1999-07-09T11:45:32Z</dcterms:created>
  <dcterms:modified xsi:type="dcterms:W3CDTF">2017-03-15T08:51:46Z</dcterms:modified>
</cp:coreProperties>
</file>